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obinups\Antigravity_Projekte\Excel\Konfigurator\"/>
    </mc:Choice>
  </mc:AlternateContent>
  <xr:revisionPtr revIDLastSave="0" documentId="13_ncr:1_{62F50F26-7CA2-44A2-B9BA-A4979DF0AC14}" xr6:coauthVersionLast="47" xr6:coauthVersionMax="47" xr10:uidLastSave="{00000000-0000-0000-0000-000000000000}"/>
  <workbookProtection workbookAlgorithmName="SHA-512" workbookHashValue="8MXmlNijdQb2cQx8yaxRH5qUdshoTlqKHBoVSFoZtanKawBSHinPPYRpeDdSAVAwF2+SbNPGMHltJRpKy5YBgw==" workbookSaltValue="Wdyb7qUFDW3bSFqrKQ3hDw==" workbookSpinCount="100000" lockStructure="1"/>
  <bookViews>
    <workbookView xWindow="28680" yWindow="-120" windowWidth="29040" windowHeight="15720" firstSheet="1" activeTab="1" xr2:uid="{00000000-000D-0000-FFFF-FFFF00000000}"/>
  </bookViews>
  <sheets>
    <sheet name="Tabelle1" sheetId="7" state="hidden" r:id="rId1"/>
    <sheet name="System" sheetId="5" r:id="rId2"/>
    <sheet name="PV modules" sheetId="2" r:id="rId3"/>
    <sheet name="Inverter" sheetId="3" state="hidden" r:id="rId4"/>
  </sheets>
  <definedNames>
    <definedName name="_xlnm._FilterDatabase" localSheetId="2" hidden="1">'PV modules'!$AS$4:$AS$100</definedName>
    <definedName name="bild1">INDIRECT("Tabelle1!B"&amp;Tabelle1!$A$1)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3" l="1"/>
  <c r="F2" i="3"/>
  <c r="E2" i="3"/>
  <c r="D2" i="3"/>
  <c r="C2" i="3"/>
  <c r="B2" i="3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2" i="2"/>
  <c r="Q2" i="2"/>
  <c r="P2" i="2"/>
  <c r="O2" i="2"/>
  <c r="N2" i="2"/>
  <c r="M2" i="2"/>
  <c r="L2" i="2"/>
  <c r="K2" i="2"/>
  <c r="J2" i="2"/>
  <c r="I2" i="2"/>
  <c r="A1" i="7"/>
  <c r="Q218" i="5"/>
  <c r="Q217" i="5"/>
  <c r="Q216" i="5"/>
  <c r="Q215" i="5"/>
  <c r="Q214" i="5"/>
  <c r="Q213" i="5"/>
  <c r="Q212" i="5"/>
  <c r="Q211" i="5"/>
  <c r="Q210" i="5"/>
  <c r="Q209" i="5"/>
  <c r="Q208" i="5"/>
  <c r="Q207" i="5"/>
  <c r="J63" i="5"/>
  <c r="D63" i="5"/>
  <c r="D62" i="5"/>
  <c r="D61" i="5"/>
  <c r="D60" i="5"/>
  <c r="C53" i="5"/>
  <c r="C52" i="5"/>
  <c r="J49" i="5"/>
  <c r="L23" i="5"/>
  <c r="K23" i="5"/>
  <c r="C23" i="5"/>
  <c r="M22" i="5"/>
  <c r="J22" i="5"/>
  <c r="C22" i="5"/>
  <c r="J20" i="5"/>
  <c r="C20" i="5"/>
  <c r="H16" i="5"/>
  <c r="G16" i="5"/>
  <c r="F16" i="5"/>
  <c r="E16" i="5"/>
  <c r="D16" i="5"/>
  <c r="C16" i="5"/>
  <c r="C15" i="5"/>
  <c r="N13" i="5"/>
  <c r="M13" i="5"/>
  <c r="L13" i="5"/>
  <c r="K13" i="5"/>
  <c r="J13" i="5"/>
  <c r="I13" i="5"/>
  <c r="H13" i="5"/>
  <c r="G13" i="5"/>
  <c r="F13" i="5"/>
  <c r="E13" i="5"/>
  <c r="N44" i="5" s="1"/>
  <c r="D13" i="5"/>
  <c r="N12" i="5"/>
  <c r="M12" i="5"/>
  <c r="L12" i="5"/>
  <c r="K12" i="5"/>
  <c r="J12" i="5"/>
  <c r="I12" i="5"/>
  <c r="H12" i="5"/>
  <c r="G12" i="5"/>
  <c r="F12" i="5"/>
  <c r="N11" i="5"/>
  <c r="M11" i="5"/>
  <c r="L11" i="5"/>
  <c r="K11" i="5"/>
  <c r="J11" i="5"/>
  <c r="I11" i="5"/>
  <c r="H11" i="5"/>
  <c r="G11" i="5"/>
  <c r="F11" i="5"/>
  <c r="E11" i="5"/>
  <c r="D11" i="5"/>
  <c r="C11" i="5"/>
  <c r="N9" i="5"/>
  <c r="N24" i="5" s="1"/>
  <c r="M9" i="5"/>
  <c r="L9" i="5"/>
  <c r="L17" i="5" s="1"/>
  <c r="K9" i="5"/>
  <c r="J9" i="5"/>
  <c r="I9" i="5"/>
  <c r="H9" i="5"/>
  <c r="G9" i="5"/>
  <c r="F9" i="5"/>
  <c r="E9" i="5"/>
  <c r="D9" i="5"/>
  <c r="N8" i="5"/>
  <c r="M8" i="5"/>
  <c r="L8" i="5"/>
  <c r="K8" i="5"/>
  <c r="J8" i="5"/>
  <c r="I8" i="5"/>
  <c r="H8" i="5"/>
  <c r="G8" i="5"/>
  <c r="F8" i="5"/>
  <c r="E8" i="5"/>
  <c r="D8" i="5"/>
  <c r="N7" i="5"/>
  <c r="N22" i="5" s="1"/>
  <c r="M7" i="5"/>
  <c r="L7" i="5"/>
  <c r="K7" i="5"/>
  <c r="J7" i="5"/>
  <c r="I7" i="5"/>
  <c r="H7" i="5"/>
  <c r="G7" i="5"/>
  <c r="F7" i="5"/>
  <c r="E7" i="5"/>
  <c r="D7" i="5"/>
  <c r="C7" i="5"/>
  <c r="C5" i="5"/>
  <c r="F4" i="5"/>
  <c r="F1" i="5"/>
  <c r="K17" i="5" l="1"/>
  <c r="J37" i="5"/>
  <c r="N40" i="5"/>
  <c r="J41" i="5"/>
  <c r="J32" i="5"/>
  <c r="J45" i="5"/>
  <c r="M32" i="5"/>
  <c r="R110" i="5" s="1"/>
  <c r="M33" i="5" s="1"/>
  <c r="N32" i="5"/>
  <c r="M36" i="5"/>
  <c r="R118" i="5" s="1"/>
  <c r="M37" i="5" s="1"/>
  <c r="N36" i="5"/>
  <c r="J33" i="5"/>
  <c r="J44" i="5"/>
  <c r="J24" i="5"/>
  <c r="J40" i="5"/>
  <c r="M44" i="5"/>
  <c r="R134" i="5" s="1"/>
  <c r="M45" i="5" s="1"/>
  <c r="J28" i="5"/>
  <c r="J36" i="5"/>
  <c r="M40" i="5"/>
  <c r="R126" i="5" s="1"/>
  <c r="M41" i="5" s="1"/>
  <c r="J17" i="5"/>
  <c r="E17" i="5" s="1"/>
  <c r="F18" i="5"/>
  <c r="E57" i="5" s="1"/>
  <c r="G18" i="5"/>
  <c r="G55" i="5" s="1"/>
  <c r="H18" i="5"/>
  <c r="R76" i="5" s="1"/>
  <c r="G56" i="5"/>
  <c r="G54" i="5"/>
  <c r="M28" i="5"/>
  <c r="R102" i="5" s="1"/>
  <c r="M29" i="5" s="1"/>
  <c r="F17" i="5"/>
  <c r="N28" i="5"/>
  <c r="G17" i="5"/>
  <c r="M24" i="5"/>
  <c r="H17" i="5"/>
  <c r="G57" i="5" l="1"/>
  <c r="E54" i="5"/>
  <c r="E56" i="5"/>
  <c r="E55" i="5"/>
  <c r="N47" i="5"/>
  <c r="D18" i="5"/>
  <c r="D49" i="5" s="1"/>
  <c r="D17" i="5"/>
  <c r="E43" i="5" s="1"/>
  <c r="E18" i="5"/>
  <c r="F32" i="5" s="1"/>
  <c r="R124" i="5"/>
  <c r="F57" i="5"/>
  <c r="R79" i="5"/>
  <c r="R108" i="5"/>
  <c r="R132" i="5"/>
  <c r="R77" i="5"/>
  <c r="F56" i="5"/>
  <c r="F54" i="5"/>
  <c r="R100" i="5"/>
  <c r="R92" i="5"/>
  <c r="F55" i="5"/>
  <c r="R116" i="5"/>
  <c r="D57" i="5"/>
  <c r="D55" i="5"/>
  <c r="R78" i="5"/>
  <c r="D56" i="5"/>
  <c r="D54" i="5"/>
  <c r="R72" i="5"/>
  <c r="G50" i="5"/>
  <c r="G47" i="5"/>
  <c r="G32" i="5"/>
  <c r="G30" i="5"/>
  <c r="G28" i="5"/>
  <c r="G36" i="5"/>
  <c r="G34" i="5"/>
  <c r="G33" i="5"/>
  <c r="G48" i="5"/>
  <c r="G40" i="5"/>
  <c r="G38" i="5"/>
  <c r="G37" i="5"/>
  <c r="G27" i="5"/>
  <c r="G44" i="5"/>
  <c r="G42" i="5"/>
  <c r="G41" i="5"/>
  <c r="G29" i="5"/>
  <c r="G46" i="5"/>
  <c r="G45" i="5"/>
  <c r="G31" i="5"/>
  <c r="G24" i="5"/>
  <c r="G26" i="5"/>
  <c r="G35" i="5"/>
  <c r="G25" i="5"/>
  <c r="G49" i="5"/>
  <c r="G39" i="5"/>
  <c r="G43" i="5"/>
  <c r="D35" i="5"/>
  <c r="D25" i="5"/>
  <c r="D44" i="5"/>
  <c r="D26" i="5"/>
  <c r="D41" i="5"/>
  <c r="D45" i="5"/>
  <c r="D47" i="5"/>
  <c r="D32" i="5"/>
  <c r="D36" i="5"/>
  <c r="D33" i="5"/>
  <c r="D42" i="5"/>
  <c r="D31" i="5"/>
  <c r="D48" i="5"/>
  <c r="D40" i="5"/>
  <c r="D37" i="5"/>
  <c r="R75" i="5"/>
  <c r="D24" i="5"/>
  <c r="E49" i="5"/>
  <c r="E39" i="5"/>
  <c r="E28" i="5"/>
  <c r="E26" i="5"/>
  <c r="E24" i="5"/>
  <c r="E29" i="5"/>
  <c r="E50" i="5"/>
  <c r="E47" i="5"/>
  <c r="E32" i="5"/>
  <c r="E30" i="5"/>
  <c r="E46" i="5"/>
  <c r="E36" i="5"/>
  <c r="E34" i="5"/>
  <c r="E33" i="5"/>
  <c r="E25" i="5"/>
  <c r="E48" i="5"/>
  <c r="E40" i="5"/>
  <c r="E38" i="5"/>
  <c r="E37" i="5"/>
  <c r="E27" i="5"/>
  <c r="E31" i="5"/>
  <c r="E35" i="5"/>
  <c r="R73" i="5"/>
  <c r="E44" i="5"/>
  <c r="E42" i="5"/>
  <c r="E41" i="5"/>
  <c r="E45" i="5"/>
  <c r="R161" i="5"/>
  <c r="R149" i="5"/>
  <c r="R137" i="5"/>
  <c r="R138" i="5"/>
  <c r="R159" i="5"/>
  <c r="R147" i="5"/>
  <c r="R158" i="5"/>
  <c r="R146" i="5"/>
  <c r="R94" i="5"/>
  <c r="M25" i="5" s="1"/>
  <c r="R164" i="5"/>
  <c r="R162" i="5"/>
  <c r="R168" i="5"/>
  <c r="R156" i="5"/>
  <c r="R144" i="5"/>
  <c r="R152" i="5"/>
  <c r="M47" i="5"/>
  <c r="R167" i="5"/>
  <c r="R155" i="5"/>
  <c r="R143" i="5"/>
  <c r="R165" i="5"/>
  <c r="R153" i="5"/>
  <c r="R141" i="5"/>
  <c r="R140" i="5"/>
  <c r="R150" i="5"/>
  <c r="F24" i="5"/>
  <c r="F42" i="5" l="1"/>
  <c r="F48" i="5"/>
  <c r="F39" i="5"/>
  <c r="D29" i="5"/>
  <c r="F47" i="5"/>
  <c r="D27" i="5"/>
  <c r="D34" i="5"/>
  <c r="D43" i="5"/>
  <c r="F41" i="5"/>
  <c r="F50" i="5"/>
  <c r="F49" i="5"/>
  <c r="D38" i="5"/>
  <c r="D30" i="5"/>
  <c r="D46" i="5"/>
  <c r="F44" i="5"/>
  <c r="F33" i="5"/>
  <c r="F29" i="5"/>
  <c r="F28" i="5"/>
  <c r="F45" i="5"/>
  <c r="F34" i="5"/>
  <c r="F43" i="5"/>
  <c r="F46" i="5"/>
  <c r="F27" i="5"/>
  <c r="F36" i="5"/>
  <c r="R74" i="5"/>
  <c r="R85" i="5" s="1"/>
  <c r="D28" i="5"/>
  <c r="F31" i="5"/>
  <c r="F25" i="5"/>
  <c r="F30" i="5"/>
  <c r="D39" i="5"/>
  <c r="F26" i="5"/>
  <c r="F37" i="5"/>
  <c r="F38" i="5"/>
  <c r="F35" i="5"/>
  <c r="F40" i="5"/>
  <c r="D50" i="5"/>
  <c r="R183" i="5"/>
  <c r="R182" i="5"/>
  <c r="R109" i="5"/>
  <c r="L33" i="5" s="1"/>
  <c r="R133" i="5"/>
  <c r="L45" i="5" s="1"/>
  <c r="R125" i="5"/>
  <c r="L41" i="5" s="1"/>
  <c r="R93" i="5"/>
  <c r="L25" i="5" s="1"/>
  <c r="S75" i="5"/>
  <c r="R117" i="5"/>
  <c r="L37" i="5" s="1"/>
  <c r="R101" i="5"/>
  <c r="L29" i="5" s="1"/>
  <c r="T75" i="5"/>
  <c r="R199" i="5"/>
  <c r="R198" i="5"/>
  <c r="Q222" i="5"/>
  <c r="R179" i="5"/>
  <c r="R178" i="5"/>
  <c r="R190" i="5"/>
  <c r="R191" i="5"/>
  <c r="R196" i="5"/>
  <c r="R197" i="5"/>
  <c r="R187" i="5"/>
  <c r="R186" i="5"/>
  <c r="R195" i="5"/>
  <c r="R194" i="5"/>
  <c r="R185" i="5"/>
  <c r="R184" i="5"/>
  <c r="T74" i="5"/>
  <c r="S74" i="5"/>
  <c r="R180" i="5"/>
  <c r="R181" i="5"/>
  <c r="R188" i="5"/>
  <c r="R189" i="5"/>
  <c r="R193" i="5"/>
  <c r="R192" i="5"/>
  <c r="T72" i="5"/>
  <c r="S72" i="5"/>
  <c r="R84" i="5"/>
  <c r="T73" i="5"/>
  <c r="S73" i="5"/>
  <c r="K49" i="5" l="1"/>
  <c r="R99" i="5"/>
  <c r="R123" i="5"/>
  <c r="R107" i="5"/>
  <c r="R115" i="5"/>
  <c r="R131" i="5"/>
  <c r="R91" i="5"/>
  <c r="R130" i="5" l="1"/>
  <c r="K45" i="5"/>
  <c r="R106" i="5"/>
  <c r="K33" i="5"/>
  <c r="R114" i="5"/>
  <c r="K37" i="5"/>
  <c r="R122" i="5"/>
  <c r="K41" i="5"/>
  <c r="K25" i="5"/>
  <c r="R90" i="5"/>
  <c r="R98" i="5"/>
  <c r="K29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<sst xmlns="http://schemas.openxmlformats.org/spreadsheetml/2006/main" count="256" uniqueCount="169">
  <si>
    <t>hybrid</t>
  </si>
  <si>
    <t>[m²]</t>
  </si>
  <si>
    <t>Jinko Neo 415W</t>
  </si>
  <si>
    <t>Jinko Neo 420W</t>
  </si>
  <si>
    <t>Jinko Neo 425W</t>
  </si>
  <si>
    <t>Jinko neo 430W</t>
  </si>
  <si>
    <t>Jinko Neo 410W</t>
  </si>
  <si>
    <t>Jinko Tiger Pro 395W</t>
  </si>
  <si>
    <t>Jinko Tiger Pro 400W</t>
  </si>
  <si>
    <t>Jinko Tiger Pro 405W</t>
  </si>
  <si>
    <t>Jinko Tiger Pro 410W</t>
  </si>
  <si>
    <t>Jinko Tiger Pro 415W</t>
  </si>
  <si>
    <t>Phono Solar Twinplus X 395W</t>
  </si>
  <si>
    <t>Phono Solar Twinplus X 405W</t>
  </si>
  <si>
    <t>Phono Solar Twinplus X 400W</t>
  </si>
  <si>
    <t>Phono Solar Twinplus X 410W</t>
  </si>
  <si>
    <t>Phono Solar Twinplus X 415W</t>
  </si>
  <si>
    <t>Phono Solar Twinplus X 415W NOCT</t>
  </si>
  <si>
    <t>Impp</t>
  </si>
  <si>
    <t>Impp &lt; 300Vdc</t>
  </si>
  <si>
    <t>Isc</t>
  </si>
  <si>
    <t>kWp</t>
  </si>
  <si>
    <t>kW</t>
  </si>
  <si>
    <t>Vdc</t>
  </si>
  <si>
    <t>A</t>
  </si>
  <si>
    <t>m²</t>
  </si>
  <si>
    <t>mm</t>
  </si>
  <si>
    <t>%</t>
  </si>
  <si>
    <t>mA/K</t>
  </si>
  <si>
    <t>%/K</t>
  </si>
  <si>
    <t>mV/K</t>
  </si>
  <si>
    <t>Wp</t>
  </si>
  <si>
    <t>°C</t>
  </si>
  <si>
    <t>Δ Isc/°C</t>
  </si>
  <si>
    <t>Vmpp max Panels -°C</t>
  </si>
  <si>
    <t>Vmpp min Panels +°C</t>
  </si>
  <si>
    <t>Voc min Panels +°C</t>
  </si>
  <si>
    <t>Voc max Panels -°C</t>
  </si>
  <si>
    <t>1/-1 panel</t>
  </si>
  <si>
    <t>min panels</t>
  </si>
  <si>
    <t>max panels</t>
  </si>
  <si>
    <t>@ TEMP</t>
  </si>
  <si>
    <t>mW/K</t>
  </si>
  <si>
    <t>Pmpp</t>
  </si>
  <si>
    <t>Sapphire 415 M108</t>
  </si>
  <si>
    <t>Vitovolt M410 WE</t>
  </si>
  <si>
    <t>Δ Pmpp/°C</t>
  </si>
  <si>
    <t>W</t>
  </si>
  <si>
    <t>Pmpp max -°C</t>
  </si>
  <si>
    <t>Isc MAX</t>
  </si>
  <si>
    <t>Umpp</t>
  </si>
  <si>
    <t>Uoc</t>
  </si>
  <si>
    <t>Uoc    MAX</t>
  </si>
  <si>
    <t>Uoc    MIN</t>
  </si>
  <si>
    <t>Umppt    MAX</t>
  </si>
  <si>
    <t>Umppt    MIN</t>
  </si>
  <si>
    <t>Δ Uoc/°C</t>
  </si>
  <si>
    <t>Isc max +°C</t>
  </si>
  <si>
    <t>Uoc MIN</t>
  </si>
  <si>
    <t>Uoc MAX</t>
  </si>
  <si>
    <t>Impp max +°C &lt; 300V</t>
  </si>
  <si>
    <t>okay</t>
  </si>
  <si>
    <t>MPPT 1</t>
  </si>
  <si>
    <t>panel number</t>
  </si>
  <si>
    <t>power</t>
  </si>
  <si>
    <t>string number</t>
  </si>
  <si>
    <t>MPPT 2</t>
  </si>
  <si>
    <t>string current limited</t>
  </si>
  <si>
    <t>Status</t>
  </si>
  <si>
    <t>PV power total &gt;15kW</t>
  </si>
  <si>
    <t>PV-MODULE NAME</t>
  </si>
  <si>
    <t>Umpp MIN</t>
  </si>
  <si>
    <t>Umpp MAX</t>
  </si>
  <si>
    <t>Isc MIN</t>
  </si>
  <si>
    <t>Impp MAX</t>
  </si>
  <si>
    <t>Imppt MIN</t>
  </si>
  <si>
    <t>PANELS
/STRING</t>
  </si>
  <si>
    <t>STRINGS</t>
  </si>
  <si>
    <t>Impp &gt; 300Vdc</t>
  </si>
  <si>
    <t>Total</t>
  </si>
  <si>
    <t>wrong panel number</t>
  </si>
  <si>
    <t>Zu viele Strings</t>
  </si>
  <si>
    <t>Zu viel PV Leistung</t>
  </si>
  <si>
    <t>to many strings</t>
  </si>
  <si>
    <t>JASolar JAM54D41-430/LB</t>
  </si>
  <si>
    <t>h10 (low PV)</t>
  </si>
  <si>
    <t>h10 (standard)</t>
  </si>
  <si>
    <t>i10</t>
  </si>
  <si>
    <t>i20</t>
  </si>
  <si>
    <t>i30</t>
  </si>
  <si>
    <t>Hi-MO 6 LR5-54HTB 430W</t>
  </si>
  <si>
    <t>HAT-SAAE HT60-166M 380W</t>
  </si>
  <si>
    <t>Aiko 445 Full Black</t>
  </si>
  <si>
    <t>PV PowerTech PVQ3 235</t>
  </si>
  <si>
    <t>Tiger Neo N-type 60HL4-(V) 480 Watt</t>
  </si>
  <si>
    <t>Sapphire M108 395Wp</t>
  </si>
  <si>
    <t>WINAICO WST-450NFX54-B1 Glas/Glas FB</t>
  </si>
  <si>
    <t>MPPT 3</t>
  </si>
  <si>
    <t>MPPT 4</t>
  </si>
  <si>
    <t>h10</t>
  </si>
  <si>
    <t>PV power total &gt;30kW</t>
  </si>
  <si>
    <t>PV power total &gt; 45kW</t>
  </si>
  <si>
    <t>PV power total &gt; 20kW</t>
  </si>
  <si>
    <t>i10 ausgewählt</t>
  </si>
  <si>
    <t>i20 ausgewählt</t>
  </si>
  <si>
    <t>i30 ausgewählt</t>
  </si>
  <si>
    <t>h10 (low PV) ausgewählt</t>
  </si>
  <si>
    <t>h10 (standard) ausgewählt</t>
  </si>
  <si>
    <t>h10 Text DE</t>
  </si>
  <si>
    <t>h10 Text EN</t>
  </si>
  <si>
    <t>i10 Text DE</t>
  </si>
  <si>
    <t>i10 Text EN</t>
  </si>
  <si>
    <t>i20 Text DE</t>
  </si>
  <si>
    <t>i20 Text EN</t>
  </si>
  <si>
    <t>i30 Text DE</t>
  </si>
  <si>
    <t>i30 Text EN</t>
  </si>
  <si>
    <t>Farben für PV Power</t>
  </si>
  <si>
    <t>Feld in gelb anzeigen</t>
  </si>
  <si>
    <t>DE</t>
  </si>
  <si>
    <t>WR Auswahl</t>
  </si>
  <si>
    <t>Hyundai HiT-H445LE-FB</t>
  </si>
  <si>
    <t>Falsche Panel-Anzahl</t>
  </si>
  <si>
    <t>too much PV power</t>
  </si>
  <si>
    <t>Bisol Laminate BDO 435Wp</t>
  </si>
  <si>
    <t>Bisol Laminate BBO 530Wp</t>
  </si>
  <si>
    <t>AIKO-A-MCE54Db</t>
  </si>
  <si>
    <t>Tiger Neo III 48QL6-DB 470 Watt</t>
  </si>
  <si>
    <t>c30</t>
  </si>
  <si>
    <t>c50</t>
  </si>
  <si>
    <t>k30</t>
  </si>
  <si>
    <t>c125</t>
  </si>
  <si>
    <t>k10</t>
  </si>
  <si>
    <t>k20</t>
  </si>
  <si>
    <t>c100</t>
  </si>
  <si>
    <t>c30 Text DE</t>
  </si>
  <si>
    <t>c30 Text EN</t>
  </si>
  <si>
    <t>c50 Text DE</t>
  </si>
  <si>
    <t>c50 Text EN</t>
  </si>
  <si>
    <t>c100 Text DE</t>
  </si>
  <si>
    <t>c125 Text DE</t>
  </si>
  <si>
    <t>k10 Text DE</t>
  </si>
  <si>
    <t>k20 Text DE</t>
  </si>
  <si>
    <t>k30 Text DE</t>
  </si>
  <si>
    <t>c100 Text EN</t>
  </si>
  <si>
    <t>c125 Text EN</t>
  </si>
  <si>
    <t>k10 Text EN</t>
  </si>
  <si>
    <t>k20 Text EN</t>
  </si>
  <si>
    <t>k30 Text EN</t>
  </si>
  <si>
    <t>MPPT 5</t>
  </si>
  <si>
    <t>MPPT 6</t>
  </si>
  <si>
    <t>c30 ausgewählt</t>
  </si>
  <si>
    <t>c50 ausgewählt</t>
  </si>
  <si>
    <t>c100 ausgewählt</t>
  </si>
  <si>
    <t>c125 ausgewählt</t>
  </si>
  <si>
    <t>k10 ausgewählt</t>
  </si>
  <si>
    <t>k20 ausgewählt</t>
  </si>
  <si>
    <t>k30 ausgewählt</t>
  </si>
  <si>
    <t>PV power total &gt; 50kW</t>
  </si>
  <si>
    <t>PV power total &gt; 40kW</t>
  </si>
  <si>
    <t>PV power total &gt; 250kW</t>
  </si>
  <si>
    <t>PV power total &gt; 100kW</t>
  </si>
  <si>
    <t>PV power total &gt; 200kW</t>
  </si>
  <si>
    <t>PV power total &gt; 60kW</t>
  </si>
  <si>
    <t>AC power total &gt; 30kW</t>
  </si>
  <si>
    <t>AC power total &gt; 50kW</t>
  </si>
  <si>
    <t>AC power total &gt; 100kW</t>
  </si>
  <si>
    <t>AC power total &gt; 125kW</t>
  </si>
  <si>
    <t>AC power total &gt; 10kW</t>
  </si>
  <si>
    <t>AC power total &gt; 20kW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</si>
</sst>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.0\ &quot; kWh&quot;"/>
    <numFmt numFmtId="165" formatCode="0.0&quot; kW&quot;"/>
    <numFmt numFmtId="166" formatCode="0&quot; Vdc&quot;"/>
    <numFmt numFmtId="167" formatCode="0.0\ &quot; A&quot;"/>
    <numFmt numFmtId="168" formatCode="0&quot; Wp&quot;"/>
    <numFmt numFmtId="169" formatCode="0.00&quot; A&quot;"/>
    <numFmt numFmtId="170" formatCode="0.0&quot; A&quot;"/>
    <numFmt numFmtId="171" formatCode="0.0&quot; kWp&quot;"/>
    <numFmt numFmtId="172" formatCode="0.0&quot; Vdc&quot;"/>
    <numFmt numFmtId="173" formatCode="0&quot; °C&quot;"/>
    <numFmt numFmtId="174" formatCode="0.00&quot; m²&quot;"/>
    <numFmt numFmtId="175" formatCode="0.0&quot; kWh&quot;"/>
    <numFmt numFmtId="176" formatCode="0.00\ &quot;m²&quot;"/>
    <numFmt numFmtId="177" formatCode="0.0"/>
    <numFmt numFmtId="178" formatCode="\+0.00;\-0.00;0.00"/>
    <numFmt numFmtId="179" formatCode="\+0.000;\-0.000;0.000"/>
    <numFmt numFmtId="180" formatCode="0.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0"/>
      <color theme="0"/>
      <name val="Raleway"/>
      <family val="2"/>
    </font>
    <font>
      <sz val="10"/>
      <color rgb="FFFF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8"/>
      <name val="Calibri Light"/>
      <family val="2"/>
      <scheme val="major"/>
    </font>
    <font>
      <strike/>
      <sz val="11"/>
      <color rgb="FFFF0000"/>
      <name val="Calibri Light"/>
      <family val="2"/>
      <scheme val="major"/>
    </font>
    <font>
      <sz val="10"/>
      <color theme="1"/>
      <name val="Raleway"/>
      <family val="2"/>
    </font>
    <font>
      <sz val="10"/>
      <name val="Raleway"/>
      <family val="2"/>
    </font>
    <font>
      <u/>
      <sz val="11"/>
      <name val="Calibri Light"/>
      <family val="2"/>
      <scheme val="major"/>
    </font>
    <font>
      <sz val="9"/>
      <color theme="0"/>
      <name val="Calibri Light"/>
      <family val="2"/>
      <scheme val="major"/>
    </font>
    <font>
      <sz val="14"/>
      <name val="Calibri Light"/>
      <family val="2"/>
      <scheme val="major"/>
    </font>
    <font>
      <sz val="12"/>
      <name val="Calibri Light"/>
      <family val="2"/>
      <scheme val="major"/>
    </font>
    <font>
      <sz val="11"/>
      <color theme="9" tint="-0.499984740745262"/>
      <name val="Calibri Light"/>
      <family val="2"/>
      <scheme val="major"/>
    </font>
    <font>
      <sz val="11"/>
      <color theme="7" tint="-0.499984740745262"/>
      <name val="Calibri Light"/>
      <family val="2"/>
      <scheme val="major"/>
    </font>
    <font>
      <sz val="11"/>
      <color rgb="FFFF9999"/>
      <name val="Calibri Light"/>
      <family val="2"/>
      <scheme val="major"/>
    </font>
    <font>
      <sz val="10"/>
      <name val="Calibri Light"/>
      <family val="2"/>
    </font>
    <font>
      <sz val="9"/>
      <name val="Calibri Light"/>
      <family val="2"/>
      <scheme val="major"/>
    </font>
    <font>
      <sz val="8"/>
      <name val="Calibri"/>
      <family val="2"/>
      <scheme val="minor"/>
    </font>
    <font>
      <b/>
      <sz val="11"/>
      <name val="Calibri Light"/>
      <family val="2"/>
      <scheme val="major"/>
    </font>
    <font>
      <sz val="11"/>
      <color rgb="FFFFFFFF"/>
      <name val="Calibri Light"/>
      <family val="2"/>
      <scheme val="major"/>
    </font>
    <font>
      <sz val="10"/>
      <color rgb="FFFFFFFF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E3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rgb="FF92D05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92D050"/>
      </bottom>
      <diagonal/>
    </border>
    <border>
      <left style="thin">
        <color indexed="64"/>
      </left>
      <right/>
      <top style="medium">
        <color indexed="64"/>
      </top>
      <bottom style="medium">
        <color rgb="FF92D05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92D050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medium">
        <color indexed="64"/>
      </right>
      <top style="medium">
        <color rgb="FF92D050"/>
      </top>
      <bottom style="medium">
        <color rgb="FF92D050"/>
      </bottom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/>
      <right/>
      <top/>
      <bottom style="thick">
        <color rgb="FFB4DE86"/>
      </bottom>
      <diagonal/>
    </border>
    <border>
      <left/>
      <right style="double">
        <color indexed="64"/>
      </right>
      <top/>
      <bottom/>
      <diagonal/>
    </border>
    <border>
      <left/>
      <right/>
      <top style="thick">
        <color rgb="FFB4DE86"/>
      </top>
      <bottom style="thick">
        <color rgb="FFC0E399"/>
      </bottom>
      <diagonal/>
    </border>
    <border>
      <left style="double">
        <color indexed="64"/>
      </left>
      <right/>
      <top/>
      <bottom/>
      <diagonal/>
    </border>
    <border>
      <left style="thick">
        <color rgb="FFC0E399"/>
      </left>
      <right style="thick">
        <color rgb="FFC0E399"/>
      </right>
      <top style="thick">
        <color rgb="FFC0E399"/>
      </top>
      <bottom style="thick">
        <color rgb="FFC0E399"/>
      </bottom>
      <diagonal/>
    </border>
    <border>
      <left style="medium">
        <color indexed="64"/>
      </left>
      <right/>
      <top style="thick">
        <color rgb="FFB4DE86"/>
      </top>
      <bottom style="thick">
        <color rgb="FFC0E39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E399"/>
      </bottom>
      <diagonal/>
    </border>
    <border>
      <left/>
      <right style="double">
        <color indexed="64"/>
      </right>
      <top/>
      <bottom style="medium">
        <color rgb="FFC0E399"/>
      </bottom>
      <diagonal/>
    </border>
    <border>
      <left/>
      <right/>
      <top style="medium">
        <color rgb="FFC0E399"/>
      </top>
      <bottom style="medium">
        <color rgb="FFC0E399"/>
      </bottom>
      <diagonal/>
    </border>
    <border>
      <left/>
      <right style="thin">
        <color indexed="64"/>
      </right>
      <top/>
      <bottom style="medium">
        <color rgb="FFC0E399"/>
      </bottom>
      <diagonal/>
    </border>
    <border>
      <left style="thin">
        <color indexed="64"/>
      </left>
      <right style="thin">
        <color indexed="64"/>
      </right>
      <top/>
      <bottom style="medium">
        <color rgb="FFC0E399"/>
      </bottom>
      <diagonal/>
    </border>
    <border>
      <left/>
      <right/>
      <top/>
      <bottom style="thick">
        <color rgb="FFFC8888"/>
      </bottom>
      <diagonal/>
    </border>
    <border>
      <left style="thin">
        <color indexed="64"/>
      </left>
      <right/>
      <top/>
      <bottom style="medium">
        <color rgb="FFC0E399"/>
      </bottom>
      <diagonal/>
    </border>
    <border>
      <left style="medium">
        <color rgb="FFC0E399"/>
      </left>
      <right/>
      <top/>
      <bottom/>
      <diagonal/>
    </border>
    <border>
      <left/>
      <right style="medium">
        <color rgb="FFC0E39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0E399"/>
      </top>
      <bottom/>
      <diagonal/>
    </border>
    <border>
      <left/>
      <right/>
      <top style="medium">
        <color rgb="FFC0E399"/>
      </top>
      <bottom style="thick">
        <color rgb="FFFF7C80"/>
      </bottom>
      <diagonal/>
    </border>
    <border>
      <left/>
      <right/>
      <top style="thick">
        <color theme="8" tint="0.39997558519241921"/>
      </top>
      <bottom style="thin">
        <color indexed="64"/>
      </bottom>
      <diagonal/>
    </border>
    <border>
      <left/>
      <right/>
      <top style="thick">
        <color rgb="FFFC8888"/>
      </top>
      <bottom style="thick">
        <color theme="8" tint="0.39997558519241921"/>
      </bottom>
      <diagonal/>
    </border>
    <border>
      <left/>
      <right/>
      <top style="thick">
        <color theme="8" tint="0.3999755851924192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rgb="FF92D05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rgb="FF92D050"/>
      </top>
      <bottom/>
      <diagonal/>
    </border>
    <border>
      <left/>
      <right style="thin">
        <color theme="0" tint="-0.249977111117893"/>
      </right>
      <top style="medium">
        <color rgb="FF92D050"/>
      </top>
      <bottom/>
      <diagonal/>
    </border>
    <border>
      <left style="thin">
        <color theme="0" tint="-0.249977111117893"/>
      </left>
      <right style="medium">
        <color indexed="64"/>
      </right>
      <top style="medium">
        <color rgb="FF92D050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2" borderId="0" xfId="0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10" fontId="1" fillId="2" borderId="0" xfId="0" applyNumberFormat="1" applyFont="1" applyFill="1" applyProtection="1">
      <protection hidden="1"/>
    </xf>
    <xf numFmtId="0" fontId="2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6" fillId="4" borderId="3" xfId="0" applyFont="1" applyFill="1" applyBorder="1" applyAlignment="1" applyProtection="1">
      <alignment horizontal="center" vertical="center" wrapText="1"/>
      <protection hidden="1"/>
    </xf>
    <xf numFmtId="0" fontId="6" fillId="4" borderId="5" xfId="0" applyFont="1" applyFill="1" applyBorder="1" applyAlignment="1" applyProtection="1">
      <alignment horizontal="center" vertical="center" wrapText="1"/>
      <protection hidden="1"/>
    </xf>
    <xf numFmtId="10" fontId="6" fillId="4" borderId="4" xfId="0" applyNumberFormat="1" applyFont="1" applyFill="1" applyBorder="1" applyAlignment="1" applyProtection="1">
      <alignment horizontal="center" vertical="center"/>
      <protection hidden="1"/>
    </xf>
    <xf numFmtId="0" fontId="6" fillId="4" borderId="6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10" fontId="4" fillId="2" borderId="0" xfId="0" applyNumberFormat="1" applyFont="1" applyFill="1" applyAlignment="1" applyProtection="1">
      <alignment horizontal="center" vertical="center"/>
      <protection hidden="1"/>
    </xf>
    <xf numFmtId="172" fontId="1" fillId="2" borderId="0" xfId="0" applyNumberFormat="1" applyFont="1" applyFill="1" applyAlignment="1" applyProtection="1">
      <alignment horizontal="center" vertical="center"/>
      <protection hidden="1"/>
    </xf>
    <xf numFmtId="168" fontId="5" fillId="2" borderId="0" xfId="0" applyNumberFormat="1" applyFont="1" applyFill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1" fillId="2" borderId="7" xfId="0" applyFont="1" applyFill="1" applyBorder="1" applyProtection="1">
      <protection locked="0" hidden="1"/>
    </xf>
    <xf numFmtId="0" fontId="6" fillId="4" borderId="2" xfId="0" applyFont="1" applyFill="1" applyBorder="1" applyAlignment="1" applyProtection="1">
      <alignment horizontal="center" vertical="center" wrapText="1"/>
      <protection hidden="1"/>
    </xf>
    <xf numFmtId="0" fontId="6" fillId="4" borderId="4" xfId="0" applyFont="1" applyFill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10" fontId="6" fillId="4" borderId="0" xfId="0" applyNumberFormat="1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1" fontId="1" fillId="2" borderId="8" xfId="0" applyNumberFormat="1" applyFont="1" applyFill="1" applyBorder="1" applyAlignment="1" applyProtection="1">
      <alignment horizontal="center"/>
      <protection locked="0" hidden="1"/>
    </xf>
    <xf numFmtId="2" fontId="1" fillId="2" borderId="8" xfId="0" applyNumberFormat="1" applyFont="1" applyFill="1" applyBorder="1" applyAlignment="1" applyProtection="1">
      <alignment horizontal="center"/>
      <protection locked="0" hidden="1"/>
    </xf>
    <xf numFmtId="10" fontId="1" fillId="2" borderId="8" xfId="0" applyNumberFormat="1" applyFont="1" applyFill="1" applyBorder="1" applyAlignment="1" applyProtection="1">
      <alignment horizontal="center"/>
      <protection locked="0" hidden="1"/>
    </xf>
    <xf numFmtId="1" fontId="1" fillId="2" borderId="9" xfId="0" applyNumberFormat="1" applyFont="1" applyFill="1" applyBorder="1" applyAlignment="1" applyProtection="1">
      <alignment horizontal="center"/>
      <protection locked="0" hidden="1"/>
    </xf>
    <xf numFmtId="0" fontId="6" fillId="4" borderId="10" xfId="0" applyFont="1" applyFill="1" applyBorder="1" applyAlignment="1" applyProtection="1">
      <alignment horizontal="center" vertical="center"/>
      <protection hidden="1"/>
    </xf>
    <xf numFmtId="178" fontId="1" fillId="2" borderId="8" xfId="0" applyNumberFormat="1" applyFont="1" applyFill="1" applyBorder="1" applyAlignment="1" applyProtection="1">
      <alignment horizontal="center"/>
      <protection locked="0" hidden="1"/>
    </xf>
    <xf numFmtId="179" fontId="1" fillId="2" borderId="8" xfId="0" applyNumberFormat="1" applyFont="1" applyFill="1" applyBorder="1" applyAlignment="1" applyProtection="1">
      <alignment horizontal="center"/>
      <protection locked="0" hidden="1"/>
    </xf>
    <xf numFmtId="177" fontId="2" fillId="2" borderId="0" xfId="0" applyNumberFormat="1" applyFont="1" applyFill="1" applyAlignment="1" applyProtection="1">
      <alignment horizontal="center" vertical="center"/>
      <protection hidden="1"/>
    </xf>
    <xf numFmtId="177" fontId="2" fillId="2" borderId="0" xfId="0" applyNumberFormat="1" applyFont="1" applyFill="1" applyAlignment="1" applyProtection="1">
      <alignment horizontal="center"/>
      <protection hidden="1"/>
    </xf>
    <xf numFmtId="2" fontId="2" fillId="2" borderId="0" xfId="0" applyNumberFormat="1" applyFont="1" applyFill="1" applyAlignment="1" applyProtection="1">
      <alignment horizontal="center" vertical="center"/>
      <protection hidden="1"/>
    </xf>
    <xf numFmtId="169" fontId="1" fillId="2" borderId="0" xfId="0" applyNumberFormat="1" applyFont="1" applyFill="1" applyAlignment="1" applyProtection="1">
      <alignment horizontal="center" vertical="center"/>
      <protection hidden="1"/>
    </xf>
    <xf numFmtId="0" fontId="7" fillId="4" borderId="12" xfId="0" applyFont="1" applyFill="1" applyBorder="1" applyAlignment="1" applyProtection="1">
      <alignment horizontal="center" vertical="center"/>
      <protection hidden="1"/>
    </xf>
    <xf numFmtId="0" fontId="7" fillId="4" borderId="12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180" fontId="5" fillId="2" borderId="0" xfId="0" applyNumberFormat="1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2" fontId="4" fillId="2" borderId="0" xfId="0" applyNumberFormat="1" applyFont="1" applyFill="1" applyAlignment="1" applyProtection="1">
      <alignment horizontal="center" vertical="center"/>
      <protection hidden="1"/>
    </xf>
    <xf numFmtId="2" fontId="1" fillId="2" borderId="11" xfId="0" applyNumberFormat="1" applyFont="1" applyFill="1" applyBorder="1" applyAlignment="1" applyProtection="1">
      <alignment horizontal="center"/>
      <protection hidden="1"/>
    </xf>
    <xf numFmtId="1" fontId="4" fillId="2" borderId="0" xfId="0" applyNumberFormat="1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10" fontId="6" fillId="2" borderId="0" xfId="0" applyNumberFormat="1" applyFont="1" applyFill="1" applyAlignment="1" applyProtection="1">
      <alignment horizontal="center" vertical="center"/>
      <protection hidden="1"/>
    </xf>
    <xf numFmtId="177" fontId="1" fillId="3" borderId="0" xfId="0" applyNumberFormat="1" applyFont="1" applyFill="1" applyAlignment="1" applyProtection="1">
      <alignment horizontal="center"/>
      <protection hidden="1"/>
    </xf>
    <xf numFmtId="177" fontId="1" fillId="3" borderId="13" xfId="0" applyNumberFormat="1" applyFont="1" applyFill="1" applyBorder="1" applyAlignment="1" applyProtection="1">
      <alignment horizontal="center"/>
      <protection hidden="1"/>
    </xf>
    <xf numFmtId="0" fontId="6" fillId="4" borderId="14" xfId="0" applyFont="1" applyFill="1" applyBorder="1" applyAlignment="1" applyProtection="1">
      <alignment horizontal="center" vertical="center" wrapText="1"/>
      <protection hidden="1"/>
    </xf>
    <xf numFmtId="2" fontId="1" fillId="2" borderId="0" xfId="0" applyNumberFormat="1" applyFont="1" applyFill="1" applyAlignment="1" applyProtection="1">
      <alignment horizontal="center"/>
      <protection hidden="1"/>
    </xf>
    <xf numFmtId="2" fontId="2" fillId="4" borderId="5" xfId="0" applyNumberFormat="1" applyFont="1" applyFill="1" applyBorder="1" applyAlignment="1" applyProtection="1">
      <alignment horizontal="center" vertical="center" wrapText="1"/>
      <protection hidden="1"/>
    </xf>
    <xf numFmtId="2" fontId="6" fillId="4" borderId="0" xfId="0" applyNumberFormat="1" applyFont="1" applyFill="1" applyAlignment="1" applyProtection="1">
      <alignment horizontal="center" vertical="center" wrapText="1"/>
      <protection hidden="1"/>
    </xf>
    <xf numFmtId="2" fontId="2" fillId="4" borderId="4" xfId="0" applyNumberFormat="1" applyFont="1" applyFill="1" applyBorder="1" applyAlignment="1" applyProtection="1">
      <alignment horizontal="center" vertical="center" wrapText="1"/>
      <protection hidden="1"/>
    </xf>
    <xf numFmtId="2" fontId="6" fillId="4" borderId="5" xfId="0" applyNumberFormat="1" applyFont="1" applyFill="1" applyBorder="1" applyAlignment="1" applyProtection="1">
      <alignment horizontal="center" vertical="center" wrapText="1"/>
      <protection hidden="1"/>
    </xf>
    <xf numFmtId="1" fontId="2" fillId="2" borderId="0" xfId="0" applyNumberFormat="1" applyFont="1" applyFill="1" applyAlignment="1" applyProtection="1">
      <alignment horizontal="center" vertical="center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6" fillId="4" borderId="17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vertical="top" wrapText="1"/>
      <protection hidden="1"/>
    </xf>
    <xf numFmtId="0" fontId="10" fillId="2" borderId="16" xfId="0" applyFont="1" applyFill="1" applyBorder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177" fontId="2" fillId="0" borderId="0" xfId="0" applyNumberFormat="1" applyFont="1" applyAlignment="1" applyProtection="1">
      <alignment horizontal="center" vertical="center"/>
      <protection hidden="1"/>
    </xf>
    <xf numFmtId="177" fontId="2" fillId="0" borderId="0" xfId="0" applyNumberFormat="1" applyFont="1" applyAlignment="1" applyProtection="1">
      <alignment horizontal="center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168" fontId="5" fillId="0" borderId="0" xfId="0" applyNumberFormat="1" applyFont="1" applyAlignment="1" applyProtection="1">
      <alignment horizontal="center" vertical="center"/>
      <protection hidden="1"/>
    </xf>
    <xf numFmtId="171" fontId="4" fillId="0" borderId="0" xfId="0" applyNumberFormat="1" applyFont="1" applyAlignment="1" applyProtection="1">
      <alignment horizontal="center" vertical="center"/>
      <protection hidden="1"/>
    </xf>
    <xf numFmtId="176" fontId="2" fillId="0" borderId="0" xfId="0" applyNumberFormat="1" applyFont="1" applyAlignment="1" applyProtection="1">
      <alignment horizontal="center" vertical="center"/>
      <protection hidden="1"/>
    </xf>
    <xf numFmtId="172" fontId="2" fillId="0" borderId="0" xfId="0" applyNumberFormat="1" applyFont="1" applyAlignment="1" applyProtection="1">
      <alignment horizontal="center" vertical="center"/>
      <protection hidden="1"/>
    </xf>
    <xf numFmtId="168" fontId="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71" fontId="5" fillId="0" borderId="0" xfId="0" applyNumberFormat="1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168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top" wrapText="1"/>
      <protection hidden="1"/>
    </xf>
    <xf numFmtId="173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10" fontId="4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171" fontId="10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165" fontId="4" fillId="0" borderId="0" xfId="0" applyNumberFormat="1" applyFont="1" applyAlignment="1" applyProtection="1">
      <alignment horizontal="center" vertical="center"/>
      <protection hidden="1"/>
    </xf>
    <xf numFmtId="172" fontId="4" fillId="0" borderId="0" xfId="0" applyNumberFormat="1" applyFont="1" applyAlignment="1" applyProtection="1">
      <alignment horizontal="center" vertical="center"/>
      <protection hidden="1"/>
    </xf>
    <xf numFmtId="167" fontId="4" fillId="0" borderId="0" xfId="0" applyNumberFormat="1" applyFont="1" applyAlignment="1" applyProtection="1">
      <alignment horizontal="center" vertical="center"/>
      <protection hidden="1"/>
    </xf>
    <xf numFmtId="175" fontId="4" fillId="0" borderId="0" xfId="0" applyNumberFormat="1" applyFont="1" applyAlignment="1" applyProtection="1">
      <alignment horizontal="center" vertical="center"/>
      <protection hidden="1"/>
    </xf>
    <xf numFmtId="164" fontId="4" fillId="0" borderId="0" xfId="0" applyNumberFormat="1" applyFont="1" applyAlignment="1" applyProtection="1">
      <alignment horizontal="center" vertical="center"/>
      <protection hidden="1"/>
    </xf>
    <xf numFmtId="169" fontId="4" fillId="0" borderId="0" xfId="0" applyNumberFormat="1" applyFont="1" applyAlignment="1" applyProtection="1">
      <alignment horizontal="center" vertical="center"/>
      <protection hidden="1"/>
    </xf>
    <xf numFmtId="174" fontId="4" fillId="0" borderId="0" xfId="0" applyNumberFormat="1" applyFont="1" applyAlignment="1" applyProtection="1">
      <alignment horizontal="center" vertical="center"/>
      <protection hidden="1"/>
    </xf>
    <xf numFmtId="166" fontId="4" fillId="0" borderId="0" xfId="0" applyNumberFormat="1" applyFont="1" applyAlignment="1" applyProtection="1">
      <alignment horizontal="center" vertical="center"/>
      <protection hidden="1"/>
    </xf>
    <xf numFmtId="170" fontId="4" fillId="0" borderId="0" xfId="0" applyNumberFormat="1" applyFont="1" applyAlignment="1" applyProtection="1">
      <alignment horizontal="center" vertical="center"/>
      <protection hidden="1"/>
    </xf>
    <xf numFmtId="0" fontId="4" fillId="5" borderId="0" xfId="0" applyFont="1" applyFill="1" applyAlignment="1" applyProtection="1">
      <alignment horizontal="center" vertical="center"/>
      <protection hidden="1"/>
    </xf>
    <xf numFmtId="177" fontId="4" fillId="5" borderId="0" xfId="0" applyNumberFormat="1" applyFont="1" applyFill="1" applyAlignment="1" applyProtection="1">
      <alignment horizontal="center" vertical="center"/>
      <protection hidden="1"/>
    </xf>
    <xf numFmtId="177" fontId="4" fillId="5" borderId="13" xfId="0" applyNumberFormat="1" applyFont="1" applyFill="1" applyBorder="1" applyAlignment="1" applyProtection="1">
      <alignment horizontal="center" vertical="center"/>
      <protection hidden="1"/>
    </xf>
    <xf numFmtId="177" fontId="1" fillId="5" borderId="0" xfId="0" applyNumberFormat="1" applyFont="1" applyFill="1" applyAlignment="1" applyProtection="1">
      <alignment horizontal="center" vertical="center"/>
      <protection hidden="1"/>
    </xf>
    <xf numFmtId="1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13" xfId="0" applyNumberFormat="1" applyFont="1" applyFill="1" applyBorder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0" fontId="4" fillId="5" borderId="15" xfId="0" applyNumberFormat="1" applyFont="1" applyFill="1" applyBorder="1" applyAlignment="1" applyProtection="1">
      <alignment horizontal="center" vertical="center"/>
      <protection hidden="1"/>
    </xf>
    <xf numFmtId="2" fontId="4" fillId="5" borderId="0" xfId="0" applyNumberFormat="1" applyFont="1" applyFill="1" applyAlignment="1" applyProtection="1">
      <alignment horizontal="center" vertical="center"/>
      <protection hidden="1"/>
    </xf>
    <xf numFmtId="180" fontId="10" fillId="5" borderId="0" xfId="0" applyNumberFormat="1" applyFont="1" applyFill="1" applyAlignment="1" applyProtection="1">
      <alignment horizontal="center" vertical="center"/>
      <protection hidden="1"/>
    </xf>
    <xf numFmtId="177" fontId="10" fillId="2" borderId="0" xfId="0" applyNumberFormat="1" applyFont="1" applyFill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6" fillId="4" borderId="19" xfId="0" applyFont="1" applyFill="1" applyBorder="1" applyAlignment="1" applyProtection="1">
      <alignment horizontal="center" vertical="center"/>
      <protection hidden="1"/>
    </xf>
    <xf numFmtId="0" fontId="6" fillId="4" borderId="19" xfId="0" applyFont="1" applyFill="1" applyBorder="1" applyAlignment="1" applyProtection="1">
      <alignment horizontal="center" vertical="center" wrapText="1"/>
      <protection hidden="1"/>
    </xf>
    <xf numFmtId="0" fontId="6" fillId="4" borderId="20" xfId="0" applyFont="1" applyFill="1" applyBorder="1" applyAlignment="1" applyProtection="1">
      <alignment horizontal="center" vertical="center" wrapText="1"/>
      <protection hidden="1"/>
    </xf>
    <xf numFmtId="0" fontId="3" fillId="4" borderId="19" xfId="0" applyFont="1" applyFill="1" applyBorder="1" applyAlignment="1" applyProtection="1">
      <alignment horizontal="center" vertical="center" wrapText="1"/>
      <protection hidden="1"/>
    </xf>
    <xf numFmtId="0" fontId="3" fillId="4" borderId="20" xfId="0" applyFont="1" applyFill="1" applyBorder="1" applyAlignment="1" applyProtection="1">
      <alignment horizontal="center" vertical="center" wrapText="1"/>
      <protection hidden="1"/>
    </xf>
    <xf numFmtId="2" fontId="3" fillId="4" borderId="19" xfId="0" applyNumberFormat="1" applyFont="1" applyFill="1" applyBorder="1" applyAlignment="1" applyProtection="1">
      <alignment horizontal="center" vertical="center" wrapText="1"/>
      <protection hidden="1"/>
    </xf>
    <xf numFmtId="0" fontId="6" fillId="4" borderId="21" xfId="0" applyFont="1" applyFill="1" applyBorder="1" applyAlignment="1" applyProtection="1">
      <alignment horizontal="center" vertical="center"/>
      <protection hidden="1"/>
    </xf>
    <xf numFmtId="10" fontId="6" fillId="4" borderId="21" xfId="0" applyNumberFormat="1" applyFont="1" applyFill="1" applyBorder="1" applyAlignment="1" applyProtection="1">
      <alignment horizontal="center" vertical="center"/>
      <protection hidden="1"/>
    </xf>
    <xf numFmtId="0" fontId="6" fillId="4" borderId="21" xfId="0" applyFont="1" applyFill="1" applyBorder="1" applyAlignment="1" applyProtection="1">
      <alignment horizontal="center" vertical="center" wrapText="1"/>
      <protection hidden="1"/>
    </xf>
    <xf numFmtId="0" fontId="16" fillId="4" borderId="20" xfId="0" applyFont="1" applyFill="1" applyBorder="1" applyAlignment="1" applyProtection="1">
      <alignment horizontal="center" vertical="center" wrapText="1"/>
      <protection hidden="1"/>
    </xf>
    <xf numFmtId="0" fontId="6" fillId="4" borderId="22" xfId="0" applyFont="1" applyFill="1" applyBorder="1" applyAlignment="1" applyProtection="1">
      <alignment horizontal="center" vertical="center" wrapText="1"/>
      <protection hidden="1"/>
    </xf>
    <xf numFmtId="0" fontId="6" fillId="4" borderId="23" xfId="0" applyFont="1" applyFill="1" applyBorder="1" applyAlignment="1" applyProtection="1">
      <alignment horizontal="center" vertical="center"/>
      <protection hidden="1"/>
    </xf>
    <xf numFmtId="2" fontId="4" fillId="5" borderId="24" xfId="0" applyNumberFormat="1" applyFont="1" applyFill="1" applyBorder="1" applyAlignment="1" applyProtection="1">
      <alignment horizontal="center" vertical="center"/>
      <protection hidden="1"/>
    </xf>
    <xf numFmtId="0" fontId="6" fillId="4" borderId="25" xfId="0" applyFont="1" applyFill="1" applyBorder="1" applyAlignment="1" applyProtection="1">
      <alignment horizontal="center" vertical="center"/>
      <protection hidden="1"/>
    </xf>
    <xf numFmtId="0" fontId="2" fillId="4" borderId="19" xfId="0" applyFont="1" applyFill="1" applyBorder="1" applyAlignment="1" applyProtection="1">
      <alignment horizontal="center" vertical="center" wrapText="1"/>
      <protection hidden="1"/>
    </xf>
    <xf numFmtId="0" fontId="2" fillId="4" borderId="27" xfId="0" applyFont="1" applyFill="1" applyBorder="1" applyAlignment="1" applyProtection="1">
      <alignment horizontal="center" vertical="center"/>
      <protection hidden="1"/>
    </xf>
    <xf numFmtId="177" fontId="5" fillId="2" borderId="0" xfId="0" applyNumberFormat="1" applyFont="1" applyFill="1" applyAlignment="1" applyProtection="1">
      <alignment horizontal="center" vertical="center"/>
      <protection hidden="1"/>
    </xf>
    <xf numFmtId="177" fontId="5" fillId="2" borderId="0" xfId="0" applyNumberFormat="1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168" fontId="3" fillId="4" borderId="26" xfId="0" applyNumberFormat="1" applyFont="1" applyFill="1" applyBorder="1" applyAlignment="1" applyProtection="1">
      <alignment horizontal="center" vertical="center" wrapText="1"/>
      <protection hidden="1"/>
    </xf>
    <xf numFmtId="1" fontId="16" fillId="4" borderId="0" xfId="0" applyNumberFormat="1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2" borderId="32" xfId="0" applyFont="1" applyFill="1" applyBorder="1" applyAlignment="1" applyProtection="1">
      <alignment horizontal="center" vertical="center"/>
      <protection hidden="1"/>
    </xf>
    <xf numFmtId="0" fontId="15" fillId="2" borderId="29" xfId="0" applyFont="1" applyFill="1" applyBorder="1" applyAlignment="1" applyProtection="1">
      <alignment horizontal="center" vertical="center"/>
      <protection hidden="1"/>
    </xf>
    <xf numFmtId="1" fontId="19" fillId="6" borderId="0" xfId="0" applyNumberFormat="1" applyFont="1" applyFill="1" applyAlignment="1" applyProtection="1">
      <alignment horizontal="center" vertical="center" wrapText="1"/>
      <protection hidden="1"/>
    </xf>
    <xf numFmtId="1" fontId="20" fillId="7" borderId="0" xfId="0" applyNumberFormat="1" applyFont="1" applyFill="1" applyAlignment="1" applyProtection="1">
      <alignment horizontal="center" vertical="center" wrapText="1"/>
      <protection hidden="1"/>
    </xf>
    <xf numFmtId="177" fontId="21" fillId="8" borderId="0" xfId="0" applyNumberFormat="1" applyFont="1" applyFill="1" applyAlignment="1" applyProtection="1">
      <alignment horizontal="center" vertical="center"/>
      <protection hidden="1"/>
    </xf>
    <xf numFmtId="2" fontId="5" fillId="2" borderId="0" xfId="0" applyNumberFormat="1" applyFont="1" applyFill="1" applyAlignment="1" applyProtection="1">
      <alignment horizontal="center" vertical="center"/>
      <protection hidden="1"/>
    </xf>
    <xf numFmtId="0" fontId="4" fillId="9" borderId="36" xfId="0" applyFont="1" applyFill="1" applyBorder="1" applyAlignment="1" applyProtection="1">
      <alignment horizontal="center" vertical="center"/>
      <protection locked="0" hidden="1"/>
    </xf>
    <xf numFmtId="1" fontId="4" fillId="9" borderId="36" xfId="0" applyNumberFormat="1" applyFont="1" applyFill="1" applyBorder="1" applyAlignment="1" applyProtection="1">
      <alignment horizontal="center" vertical="center"/>
      <protection locked="0" hidden="1"/>
    </xf>
    <xf numFmtId="1" fontId="4" fillId="9" borderId="0" xfId="0" applyNumberFormat="1" applyFont="1" applyFill="1" applyAlignment="1" applyProtection="1">
      <alignment horizontal="center" vertical="center"/>
      <protection locked="0" hidden="1"/>
    </xf>
    <xf numFmtId="1" fontId="4" fillId="9" borderId="26" xfId="0" applyNumberFormat="1" applyFont="1" applyFill="1" applyBorder="1" applyAlignment="1" applyProtection="1">
      <alignment horizontal="center" vertical="center"/>
      <protection locked="0" hidden="1"/>
    </xf>
    <xf numFmtId="1" fontId="4" fillId="9" borderId="37" xfId="0" applyNumberFormat="1" applyFont="1" applyFill="1" applyBorder="1" applyAlignment="1" applyProtection="1">
      <alignment horizontal="center" vertical="center"/>
      <protection locked="0" hidden="1"/>
    </xf>
    <xf numFmtId="0" fontId="4" fillId="2" borderId="38" xfId="0" applyFont="1" applyFill="1" applyBorder="1" applyAlignment="1" applyProtection="1">
      <alignment horizontal="center" vertical="center"/>
      <protection hidden="1"/>
    </xf>
    <xf numFmtId="172" fontId="1" fillId="2" borderId="38" xfId="0" applyNumberFormat="1" applyFont="1" applyFill="1" applyBorder="1" applyAlignment="1" applyProtection="1">
      <alignment horizontal="center" vertical="center"/>
      <protection hidden="1"/>
    </xf>
    <xf numFmtId="2" fontId="4" fillId="5" borderId="39" xfId="0" applyNumberFormat="1" applyFont="1" applyFill="1" applyBorder="1" applyAlignment="1" applyProtection="1">
      <alignment horizontal="center" vertical="center"/>
      <protection hidden="1"/>
    </xf>
    <xf numFmtId="169" fontId="1" fillId="2" borderId="40" xfId="0" applyNumberFormat="1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Alignment="1" applyProtection="1">
      <alignment horizontal="center" vertical="center"/>
      <protection hidden="1"/>
    </xf>
    <xf numFmtId="171" fontId="4" fillId="0" borderId="0" xfId="0" applyNumberFormat="1" applyFont="1" applyAlignment="1" applyProtection="1">
      <alignment horizontal="left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8" fontId="26" fillId="10" borderId="27" xfId="0" applyNumberFormat="1" applyFont="1" applyFill="1" applyBorder="1" applyAlignment="1" applyProtection="1">
      <alignment horizontal="center" vertical="center"/>
      <protection hidden="1"/>
    </xf>
    <xf numFmtId="0" fontId="27" fillId="10" borderId="27" xfId="0" applyFont="1" applyFill="1" applyBorder="1" applyAlignment="1" applyProtection="1">
      <alignment horizontal="center" vertical="center"/>
      <protection hidden="1"/>
    </xf>
    <xf numFmtId="0" fontId="26" fillId="10" borderId="27" xfId="0" applyFont="1" applyFill="1" applyBorder="1" applyAlignment="1" applyProtection="1">
      <alignment horizontal="center" vertical="center"/>
      <protection hidden="1"/>
    </xf>
    <xf numFmtId="0" fontId="4" fillId="11" borderId="0" xfId="0" applyFont="1" applyFill="1" applyAlignment="1" applyProtection="1">
      <alignment horizontal="center" vertical="center" wrapText="1"/>
      <protection hidden="1"/>
    </xf>
    <xf numFmtId="2" fontId="4" fillId="11" borderId="0" xfId="0" applyNumberFormat="1" applyFont="1" applyFill="1" applyAlignment="1" applyProtection="1">
      <alignment horizontal="center" vertical="center"/>
      <protection hidden="1"/>
    </xf>
    <xf numFmtId="1" fontId="4" fillId="11" borderId="0" xfId="0" applyNumberFormat="1" applyFont="1" applyFill="1" applyAlignment="1" applyProtection="1">
      <alignment horizontal="center" vertical="center"/>
      <protection hidden="1"/>
    </xf>
    <xf numFmtId="0" fontId="4" fillId="11" borderId="0" xfId="0" applyFont="1" applyFill="1" applyAlignment="1" applyProtection="1">
      <alignment horizontal="center" vertical="center"/>
      <protection hidden="1"/>
    </xf>
    <xf numFmtId="0" fontId="4" fillId="11" borderId="0" xfId="0" applyFont="1" applyFill="1" applyAlignment="1" applyProtection="1">
      <alignment vertical="center" wrapText="1"/>
      <protection hidden="1"/>
    </xf>
    <xf numFmtId="0" fontId="6" fillId="4" borderId="36" xfId="0" applyFont="1" applyFill="1" applyBorder="1" applyAlignment="1" applyProtection="1">
      <alignment horizontal="center" vertical="center" wrapText="1"/>
      <protection hidden="1"/>
    </xf>
    <xf numFmtId="1" fontId="10" fillId="2" borderId="0" xfId="0" applyNumberFormat="1" applyFont="1" applyFill="1" applyAlignment="1" applyProtection="1">
      <alignment horizontal="center" vertical="center"/>
      <protection hidden="1"/>
    </xf>
    <xf numFmtId="2" fontId="10" fillId="2" borderId="0" xfId="0" applyNumberFormat="1" applyFont="1" applyFill="1" applyAlignment="1" applyProtection="1">
      <alignment horizontal="center" vertical="center"/>
      <protection hidden="1"/>
    </xf>
    <xf numFmtId="0" fontId="6" fillId="4" borderId="27" xfId="0" applyFont="1" applyFill="1" applyBorder="1" applyAlignment="1" applyProtection="1">
      <alignment horizontal="center" vertical="center"/>
      <protection hidden="1"/>
    </xf>
    <xf numFmtId="168" fontId="2" fillId="4" borderId="27" xfId="0" applyNumberFormat="1" applyFont="1" applyFill="1" applyBorder="1" applyAlignment="1" applyProtection="1">
      <alignment horizontal="center" vertical="center"/>
      <protection hidden="1"/>
    </xf>
    <xf numFmtId="0" fontId="1" fillId="2" borderId="42" xfId="0" applyFont="1" applyFill="1" applyBorder="1" applyProtection="1">
      <protection locked="0" hidden="1"/>
    </xf>
    <xf numFmtId="1" fontId="1" fillId="2" borderId="43" xfId="0" applyNumberFormat="1" applyFont="1" applyFill="1" applyBorder="1" applyAlignment="1" applyProtection="1">
      <alignment horizontal="center"/>
      <protection locked="0" hidden="1"/>
    </xf>
    <xf numFmtId="1" fontId="1" fillId="2" borderId="44" xfId="0" applyNumberFormat="1" applyFont="1" applyFill="1" applyBorder="1" applyAlignment="1" applyProtection="1">
      <alignment horizontal="center"/>
      <protection locked="0" hidden="1"/>
    </xf>
    <xf numFmtId="2" fontId="1" fillId="2" borderId="43" xfId="0" applyNumberFormat="1" applyFont="1" applyFill="1" applyBorder="1" applyAlignment="1" applyProtection="1">
      <alignment horizontal="center"/>
      <protection locked="0" hidden="1"/>
    </xf>
    <xf numFmtId="10" fontId="1" fillId="2" borderId="43" xfId="0" applyNumberFormat="1" applyFont="1" applyFill="1" applyBorder="1" applyAlignment="1" applyProtection="1">
      <alignment horizontal="center"/>
      <protection locked="0" hidden="1"/>
    </xf>
    <xf numFmtId="178" fontId="1" fillId="2" borderId="43" xfId="0" applyNumberFormat="1" applyFont="1" applyFill="1" applyBorder="1" applyAlignment="1" applyProtection="1">
      <alignment horizontal="center"/>
      <protection locked="0" hidden="1"/>
    </xf>
    <xf numFmtId="179" fontId="1" fillId="2" borderId="43" xfId="0" applyNumberFormat="1" applyFont="1" applyFill="1" applyBorder="1" applyAlignment="1" applyProtection="1">
      <alignment horizontal="center"/>
      <protection locked="0" hidden="1"/>
    </xf>
    <xf numFmtId="2" fontId="1" fillId="2" borderId="45" xfId="0" applyNumberFormat="1" applyFont="1" applyFill="1" applyBorder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0" fontId="17" fillId="2" borderId="18" xfId="0" applyFont="1" applyFill="1" applyBorder="1" applyAlignment="1" applyProtection="1">
      <alignment horizontal="center" vertical="center"/>
      <protection hidden="1"/>
    </xf>
    <xf numFmtId="0" fontId="18" fillId="2" borderId="18" xfId="0" applyFont="1" applyFill="1" applyBorder="1" applyAlignment="1" applyProtection="1">
      <alignment horizontal="center" vertical="center"/>
      <protection hidden="1"/>
    </xf>
    <xf numFmtId="0" fontId="27" fillId="10" borderId="27" xfId="0" applyFont="1" applyFill="1" applyBorder="1" applyAlignment="1" applyProtection="1">
      <alignment horizontal="center" vertical="center"/>
      <protection hidden="1"/>
    </xf>
    <xf numFmtId="0" fontId="4" fillId="2" borderId="26" xfId="0" applyFont="1" applyFill="1" applyBorder="1" applyAlignment="1" applyProtection="1">
      <alignment horizontal="center" vertical="center" wrapText="1"/>
      <protection hidden="1"/>
    </xf>
    <xf numFmtId="0" fontId="4" fillId="11" borderId="0" xfId="0" applyFont="1" applyFill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2" fontId="4" fillId="2" borderId="0" xfId="0" applyNumberFormat="1" applyFont="1" applyFill="1" applyAlignment="1" applyProtection="1">
      <alignment horizontal="center" vertical="center" wrapText="1"/>
      <protection hidden="1"/>
    </xf>
    <xf numFmtId="2" fontId="4" fillId="11" borderId="0" xfId="0" applyNumberFormat="1" applyFont="1" applyFill="1" applyAlignment="1" applyProtection="1">
      <alignment horizontal="center" vertical="center" wrapText="1"/>
      <protection hidden="1"/>
    </xf>
    <xf numFmtId="0" fontId="23" fillId="2" borderId="28" xfId="0" applyFont="1" applyFill="1" applyBorder="1" applyAlignment="1" applyProtection="1">
      <alignment horizontal="center" vertical="center"/>
      <protection hidden="1"/>
    </xf>
    <xf numFmtId="0" fontId="2" fillId="4" borderId="2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22" fillId="2" borderId="0" xfId="0" applyFont="1" applyFill="1" applyAlignment="1" applyProtection="1">
      <alignment horizontal="left" vertical="center" wrapText="1"/>
      <protection hidden="1"/>
    </xf>
    <xf numFmtId="0" fontId="22" fillId="2" borderId="0" xfId="0" applyFont="1" applyFill="1" applyAlignment="1" applyProtection="1">
      <alignment horizontal="left" vertical="top" wrapText="1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2" borderId="30" xfId="0" applyFont="1" applyFill="1" applyBorder="1" applyAlignment="1" applyProtection="1">
      <alignment horizontal="center" vertical="top" wrapText="1"/>
      <protection hidden="1"/>
    </xf>
    <xf numFmtId="0" fontId="4" fillId="2" borderId="31" xfId="0" applyFont="1" applyFill="1" applyBorder="1" applyAlignment="1" applyProtection="1">
      <alignment horizontal="center" vertical="top" wrapText="1"/>
      <protection hidden="1"/>
    </xf>
    <xf numFmtId="0" fontId="4" fillId="2" borderId="0" xfId="0" applyFont="1" applyFill="1" applyAlignment="1" applyProtection="1">
      <alignment horizontal="center" vertical="top" wrapText="1"/>
      <protection hidden="1"/>
    </xf>
    <xf numFmtId="0" fontId="4" fillId="2" borderId="33" xfId="0" applyFont="1" applyFill="1" applyBorder="1" applyAlignment="1" applyProtection="1">
      <alignment horizontal="center" vertical="top" wrapText="1"/>
      <protection hidden="1"/>
    </xf>
    <xf numFmtId="0" fontId="4" fillId="2" borderId="28" xfId="0" applyFont="1" applyFill="1" applyBorder="1" applyAlignment="1" applyProtection="1">
      <alignment horizontal="center" vertical="top" wrapText="1"/>
      <protection hidden="1"/>
    </xf>
    <xf numFmtId="0" fontId="4" fillId="2" borderId="41" xfId="0" applyFont="1" applyFill="1" applyBorder="1" applyAlignment="1" applyProtection="1">
      <alignment horizontal="center" vertical="top" wrapText="1"/>
      <protection hidden="1"/>
    </xf>
  </cellXfs>
  <cellStyles count="1">
    <cellStyle name="Standard" xfId="0" builtinId="0"/>
  </cellStyles>
  <dxfs count="63">
    <dxf>
      <font>
        <color theme="0"/>
      </font>
      <fill>
        <patternFill patternType="solid">
          <fgColor auto="1"/>
          <bgColor rgb="FF8A0000"/>
        </patternFill>
      </fill>
    </dxf>
    <dxf>
      <font>
        <color theme="0"/>
      </font>
      <fill>
        <patternFill patternType="solid">
          <fgColor auto="1"/>
          <bgColor rgb="FF8A0000"/>
        </patternFill>
      </fill>
    </dxf>
    <dxf>
      <font>
        <color theme="0"/>
      </font>
      <fill>
        <patternFill>
          <bgColor rgb="FF8A0000"/>
        </patternFill>
      </fill>
    </dxf>
    <dxf>
      <font>
        <color theme="0"/>
      </font>
      <fill>
        <patternFill>
          <bgColor rgb="FF8A0000"/>
        </patternFill>
      </fill>
    </dxf>
    <dxf>
      <font>
        <color theme="0"/>
      </font>
      <fill>
        <patternFill patternType="solid">
          <fgColor auto="1"/>
          <bgColor rgb="FF8A0000"/>
        </patternFill>
      </fill>
    </dxf>
    <dxf>
      <font>
        <color theme="0"/>
      </font>
      <fill>
        <patternFill patternType="solid">
          <fgColor auto="1"/>
          <bgColor rgb="FF8A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FFFFFF"/>
      </font>
      <numFmt numFmtId="181" formatCode=";;;"/>
      <fill>
        <patternFill>
          <bgColor rgb="FFFFFFFF"/>
        </patternFill>
      </fill>
      <border>
        <left/>
        <right/>
        <top/>
        <bottom/>
      </border>
    </dxf>
    <dxf>
      <font>
        <color rgb="FFFFFFFF"/>
      </font>
      <numFmt numFmtId="181" formatCode=";;;"/>
      <fill>
        <patternFill>
          <bgColor rgb="FFFFFFFF"/>
        </patternFill>
      </fill>
      <border>
        <left/>
        <right/>
        <top/>
        <bottom/>
      </border>
    </dxf>
    <dxf>
      <font>
        <color rgb="FFFFFFFF"/>
      </font>
      <numFmt numFmtId="181" formatCode=";;;"/>
      <fill>
        <patternFill>
          <bgColor rgb="FFFFFFFF"/>
        </patternFill>
      </fill>
      <border>
        <left/>
        <right/>
        <top/>
        <bottom/>
      </border>
    </dxf>
    <dxf>
      <font>
        <color rgb="FFFFFFFF"/>
      </font>
      <numFmt numFmtId="181" formatCode=";;;"/>
      <fill>
        <patternFill>
          <bgColor rgb="FFFFFFFF"/>
        </patternFill>
      </fill>
      <border>
        <left/>
        <right/>
        <top/>
        <bottom/>
      </border>
    </dxf>
    <dxf>
      <font>
        <color rgb="FF8B0000"/>
      </font>
      <fill>
        <patternFill>
          <bgColor rgb="FFFF9999"/>
        </patternFill>
      </fill>
    </dxf>
    <dxf>
      <font>
        <color rgb="FF8B0000"/>
      </font>
      <fill>
        <patternFill>
          <bgColor rgb="FFFF9999"/>
        </patternFill>
      </fill>
    </dxf>
    <dxf>
      <font>
        <color rgb="FF8B0000"/>
      </font>
      <fill>
        <patternFill>
          <bgColor rgb="FFFF9999"/>
        </patternFill>
      </fill>
    </dxf>
    <dxf>
      <font>
        <color rgb="FF8B0000"/>
      </font>
      <fill>
        <patternFill>
          <bgColor rgb="FFFF99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785A00"/>
      </font>
      <fill>
        <patternFill>
          <bgColor rgb="FFFFF2CC"/>
        </patternFill>
      </fill>
    </dxf>
    <dxf>
      <numFmt numFmtId="181" formatCode=";;;"/>
      <fill>
        <patternFill>
          <bgColor theme="0"/>
        </patternFill>
      </fill>
    </dxf>
    <dxf>
      <numFmt numFmtId="181" formatCode=";;;"/>
      <fill>
        <patternFill>
          <bgColor theme="0"/>
        </patternFill>
      </fill>
    </dxf>
    <dxf>
      <numFmt numFmtId="181" formatCode=";;;"/>
      <fill>
        <patternFill>
          <bgColor theme="0"/>
        </patternFill>
      </fill>
    </dxf>
    <dxf>
      <numFmt numFmtId="181" formatCode=";;;"/>
      <fill>
        <patternFill>
          <bgColor theme="0"/>
        </patternFill>
      </fill>
    </dxf>
    <dxf>
      <font>
        <color rgb="FF8B0000"/>
      </font>
      <fill>
        <patternFill>
          <bgColor rgb="FFFF9999"/>
        </patternFill>
      </fill>
    </dxf>
    <dxf>
      <font>
        <color rgb="FF8B0000"/>
      </font>
      <fill>
        <patternFill>
          <bgColor rgb="FFFF9999"/>
        </patternFill>
      </fill>
    </dxf>
    <dxf>
      <font>
        <color theme="0"/>
      </font>
      <fill>
        <patternFill>
          <fgColor theme="0"/>
        </patternFill>
      </fill>
    </dxf>
    <dxf>
      <font>
        <color theme="9" tint="-0.499984740745262"/>
      </font>
      <fill>
        <patternFill>
          <bgColor rgb="FFC0E399"/>
        </patternFill>
      </fill>
    </dxf>
    <dxf>
      <font>
        <color rgb="FF8A0000"/>
      </font>
      <fill>
        <patternFill>
          <bgColor rgb="FFFF9999"/>
        </patternFill>
      </fill>
    </dxf>
    <dxf>
      <font>
        <color theme="0"/>
      </font>
      <fill>
        <patternFill>
          <fgColor theme="0"/>
        </patternFill>
      </fill>
    </dxf>
    <dxf>
      <font>
        <color theme="9" tint="-0.499984740745262"/>
      </font>
      <fill>
        <patternFill>
          <bgColor rgb="FFC0E399"/>
        </patternFill>
      </fill>
    </dxf>
    <dxf>
      <font>
        <color rgb="FF8A0000"/>
      </font>
      <fill>
        <patternFill>
          <bgColor rgb="FFFF9999"/>
        </patternFill>
      </fill>
    </dxf>
    <dxf>
      <font>
        <color theme="0"/>
      </font>
      <fill>
        <patternFill>
          <fgColor theme="0"/>
        </patternFill>
      </fill>
    </dxf>
    <dxf>
      <font>
        <color theme="9" tint="-0.499984740745262"/>
      </font>
      <fill>
        <patternFill>
          <bgColor rgb="FFC0E399"/>
        </patternFill>
      </fill>
    </dxf>
    <dxf>
      <font>
        <color rgb="FF8A0000"/>
      </font>
      <fill>
        <patternFill>
          <bgColor rgb="FFFF9999"/>
        </patternFill>
      </fill>
    </dxf>
    <dxf>
      <font>
        <color theme="0"/>
      </font>
      <fill>
        <patternFill>
          <fgColor theme="0"/>
        </patternFill>
      </fill>
    </dxf>
    <dxf>
      <font>
        <color theme="9" tint="-0.499984740745262"/>
      </font>
      <fill>
        <patternFill>
          <bgColor rgb="FFC0E399"/>
        </patternFill>
      </fill>
    </dxf>
    <dxf>
      <font>
        <color rgb="FF8A0000"/>
      </font>
      <fill>
        <patternFill>
          <bgColor rgb="FFFF9999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005000"/>
      </font>
      <fill>
        <patternFill>
          <bgColor rgb="FFC0E399"/>
        </patternFill>
      </fill>
    </dxf>
    <dxf>
      <font>
        <color rgb="FF005000"/>
      </font>
      <fill>
        <patternFill>
          <bgColor rgb="FFC0E399"/>
        </patternFill>
      </fill>
      <border>
        <left/>
        <right/>
        <top/>
        <bottom/>
      </border>
    </dxf>
    <dxf>
      <font>
        <color rgb="FFB4B4B4"/>
      </font>
      <fill>
        <patternFill patternType="solid">
          <bgColor theme="0"/>
        </patternFill>
      </fill>
      <border>
        <left/>
        <right/>
        <top/>
        <bottom/>
      </border>
    </dxf>
    <dxf>
      <font>
        <color rgb="FF005000"/>
      </font>
      <fill>
        <patternFill>
          <bgColor rgb="FFC0E399"/>
        </patternFill>
      </fill>
    </dxf>
  </dxfs>
  <tableStyles count="0" defaultTableStyle="TableStyleMedium2" defaultPivotStyle="PivotStyleLight16"/>
  <colors>
    <mruColors>
      <color rgb="FFC0E399"/>
      <color rgb="FFFF7C80"/>
      <color rgb="FF9999FF"/>
      <color rgb="FFFF9999"/>
      <color rgb="FF8A0000"/>
      <color rgb="FFCCFF66"/>
      <color rgb="FF3C4F0D"/>
      <color rgb="FFFF5050"/>
      <color rgb="FFC43E14"/>
      <color rgb="FF678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emf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</xdr:colOff>
      <xdr:row>16</xdr:row>
      <xdr:rowOff>2276</xdr:rowOff>
    </xdr:from>
    <xdr:to>
      <xdr:col>2</xdr:col>
      <xdr:colOff>185506</xdr:colOff>
      <xdr:row>17</xdr:row>
      <xdr:rowOff>31530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390" y="2764526"/>
          <a:ext cx="165986" cy="165870"/>
        </a:xfrm>
        <a:prstGeom prst="rect">
          <a:avLst/>
        </a:prstGeom>
      </xdr:spPr>
    </xdr:pic>
    <xdr:clientData/>
  </xdr:twoCellAnchor>
  <xdr:twoCellAnchor editAs="oneCell">
    <xdr:from>
      <xdr:col>2</xdr:col>
      <xdr:colOff>5566</xdr:colOff>
      <xdr:row>17</xdr:row>
      <xdr:rowOff>8792</xdr:rowOff>
    </xdr:from>
    <xdr:to>
      <xdr:col>2</xdr:col>
      <xdr:colOff>184413</xdr:colOff>
      <xdr:row>18</xdr:row>
      <xdr:rowOff>29954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486" y="2934328"/>
          <a:ext cx="165512" cy="165397"/>
        </a:xfrm>
        <a:prstGeom prst="rect">
          <a:avLst/>
        </a:prstGeom>
      </xdr:spPr>
    </xdr:pic>
    <xdr:clientData/>
  </xdr:twoCellAnchor>
  <xdr:twoCellAnchor editAs="oneCell">
    <xdr:from>
      <xdr:col>1</xdr:col>
      <xdr:colOff>53954</xdr:colOff>
      <xdr:row>21</xdr:row>
      <xdr:rowOff>0</xdr:rowOff>
    </xdr:from>
    <xdr:to>
      <xdr:col>1</xdr:col>
      <xdr:colOff>412049</xdr:colOff>
      <xdr:row>22</xdr:row>
      <xdr:rowOff>107476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54" y="5366657"/>
          <a:ext cx="360000" cy="358936"/>
        </a:xfrm>
        <a:prstGeom prst="rect">
          <a:avLst/>
        </a:prstGeom>
      </xdr:spPr>
    </xdr:pic>
    <xdr:clientData/>
  </xdr:twoCellAnchor>
  <xdr:twoCellAnchor editAs="oneCell">
    <xdr:from>
      <xdr:col>1</xdr:col>
      <xdr:colOff>63738</xdr:colOff>
      <xdr:row>10</xdr:row>
      <xdr:rowOff>0</xdr:rowOff>
    </xdr:from>
    <xdr:to>
      <xdr:col>1</xdr:col>
      <xdr:colOff>451156</xdr:colOff>
      <xdr:row>11</xdr:row>
      <xdr:rowOff>106635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824" y="1366345"/>
          <a:ext cx="360748" cy="362299"/>
        </a:xfrm>
        <a:prstGeom prst="rect">
          <a:avLst/>
        </a:prstGeom>
      </xdr:spPr>
    </xdr:pic>
    <xdr:clientData/>
  </xdr:twoCellAnchor>
  <xdr:twoCellAnchor editAs="oneCell">
    <xdr:from>
      <xdr:col>1</xdr:col>
      <xdr:colOff>82478</xdr:colOff>
      <xdr:row>5</xdr:row>
      <xdr:rowOff>178019</xdr:rowOff>
    </xdr:from>
    <xdr:to>
      <xdr:col>1</xdr:col>
      <xdr:colOff>450098</xdr:colOff>
      <xdr:row>7</xdr:row>
      <xdr:rowOff>79757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878" y="806669"/>
          <a:ext cx="360000" cy="358937"/>
        </a:xfrm>
        <a:prstGeom prst="rect">
          <a:avLst/>
        </a:prstGeom>
      </xdr:spPr>
    </xdr:pic>
    <xdr:clientData/>
  </xdr:twoCellAnchor>
  <xdr:twoCellAnchor editAs="oneCell">
    <xdr:from>
      <xdr:col>12</xdr:col>
      <xdr:colOff>668633</xdr:colOff>
      <xdr:row>0</xdr:row>
      <xdr:rowOff>28575</xdr:rowOff>
    </xdr:from>
    <xdr:to>
      <xdr:col>13</xdr:col>
      <xdr:colOff>910480</xdr:colOff>
      <xdr:row>2</xdr:row>
      <xdr:rowOff>146640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5233" y="28575"/>
          <a:ext cx="1137197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46788</xdr:colOff>
      <xdr:row>0</xdr:row>
      <xdr:rowOff>41764</xdr:rowOff>
    </xdr:from>
    <xdr:to>
      <xdr:col>2</xdr:col>
      <xdr:colOff>1180762</xdr:colOff>
      <xdr:row>2</xdr:row>
      <xdr:rowOff>154114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388" y="41764"/>
          <a:ext cx="1133974" cy="3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4645</xdr:colOff>
          <xdr:row>1</xdr:row>
          <xdr:rowOff>51825</xdr:rowOff>
        </xdr:from>
        <xdr:to>
          <xdr:col>12</xdr:col>
          <xdr:colOff>13938</xdr:colOff>
          <xdr:row>2</xdr:row>
          <xdr:rowOff>126399</xdr:rowOff>
        </xdr:to>
        <xdr:pic>
          <xdr:nvPicPr>
            <xdr:cNvPr id="12" name="Grafik 11">
              <a:extLst>
                <a:ext uri="{FF2B5EF4-FFF2-40B4-BE49-F238E27FC236}">
                  <a16:creationId xmlns:a16="http://schemas.microsoft.com/office/drawing/2014/main" id="{C2580365-4F57-1B4F-1FC9-0DEDF9729D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bild1" spid="_x0000_s1826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9998568" y="176383"/>
              <a:ext cx="925158" cy="1991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3788-6002-4A62-ACB6-36D8355C0F0B}">
  <sheetPr codeName="Tabelle1"/>
  <dimension ref="A1:B2"/>
  <sheetViews>
    <sheetView workbookViewId="0"/>
  </sheetViews>
  <sheetFormatPr baseColWidth="10" defaultRowHeight="15" x14ac:dyDescent="0.25"/>
  <sheetData>
    <row r="1" spans="1:2" x14ac:dyDescent="0.25">
      <c r="A1" s="24">
        <f>IF(System!L1="DE",1,IF(System!L1="EN",2))</f>
        <v>1</v>
      </c>
      <c r="B1" s="18" t="e" vm="1">
        <v>#VALUE!</v>
      </c>
    </row>
    <row r="2" spans="1:2" x14ac:dyDescent="0.25">
      <c r="A2" s="24"/>
      <c r="B2" s="18" t="e" vm="2">
        <v>#VALUE!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ystem">
    <pageSetUpPr autoPageBreaks="0" fitToPage="1"/>
  </sheetPr>
  <dimension ref="A1:AZ336"/>
  <sheetViews>
    <sheetView tabSelected="1" zoomScale="85" zoomScaleNormal="85" workbookViewId="0">
      <selection activeCell="C13" sqref="C13"/>
    </sheetView>
  </sheetViews>
  <sheetFormatPr baseColWidth="10" defaultColWidth="20.7109375" defaultRowHeight="15" customHeight="1" x14ac:dyDescent="0.25"/>
  <cols>
    <col min="1" max="1" width="2.28515625" style="18" customWidth="1"/>
    <col min="2" max="2" width="6.85546875" style="18" customWidth="1"/>
    <col min="3" max="3" width="30.85546875" style="18" bestFit="1" customWidth="1"/>
    <col min="4" max="4" width="13.7109375" style="18" customWidth="1"/>
    <col min="5" max="5" width="12.85546875" style="18" customWidth="1"/>
    <col min="6" max="14" width="13.7109375" style="18" customWidth="1"/>
    <col min="15" max="15" width="8.7109375" style="18" customWidth="1"/>
    <col min="16" max="16" width="1.42578125" style="18" hidden="1" customWidth="1"/>
    <col min="17" max="17" width="12.5703125" style="18" hidden="1" customWidth="1"/>
    <col min="18" max="18" width="40.140625" style="18" hidden="1" customWidth="1"/>
    <col min="19" max="19" width="19.28515625" style="18" hidden="1" customWidth="1"/>
    <col min="20" max="20" width="42.85546875" style="18" hidden="1" customWidth="1"/>
    <col min="21" max="21" width="24.28515625" style="18" customWidth="1"/>
    <col min="22" max="16384" width="20.7109375" style="18"/>
  </cols>
  <sheetData>
    <row r="1" spans="1:18" s="81" customFormat="1" ht="9.9499999999999993" customHeight="1" thickTop="1" thickBot="1" x14ac:dyDescent="0.3">
      <c r="A1" s="67"/>
      <c r="B1" s="67"/>
      <c r="C1" s="67"/>
      <c r="D1" s="67"/>
      <c r="E1" s="67"/>
      <c r="F1" s="176" t="str">
        <f>IF(Tabelle1!$A$1=1,"PV - Konfigurationsassistent",IF(Tabelle1!$A$1=2,"PV - configuration wizard"))</f>
        <v>PV - Konfigurationsassistent</v>
      </c>
      <c r="G1" s="176"/>
      <c r="H1" s="176"/>
      <c r="I1" s="176"/>
      <c r="J1" s="176"/>
      <c r="K1" s="68"/>
      <c r="L1" s="71" t="s">
        <v>118</v>
      </c>
      <c r="M1" s="67"/>
      <c r="N1" s="67"/>
      <c r="O1" s="67"/>
      <c r="Q1" s="24"/>
      <c r="R1" s="18"/>
    </row>
    <row r="2" spans="1:18" s="81" customFormat="1" ht="9.9499999999999993" customHeight="1" thickTop="1" x14ac:dyDescent="0.25">
      <c r="A2" s="67"/>
      <c r="B2" s="67"/>
      <c r="C2" s="67"/>
      <c r="D2" s="68"/>
      <c r="E2" s="68"/>
      <c r="F2" s="176"/>
      <c r="G2" s="176"/>
      <c r="H2" s="176"/>
      <c r="I2" s="176"/>
      <c r="J2" s="176"/>
      <c r="K2" s="68"/>
      <c r="L2" s="17"/>
      <c r="M2" s="67"/>
      <c r="N2" s="67"/>
      <c r="O2" s="67"/>
      <c r="Q2" s="24"/>
      <c r="R2" s="18"/>
    </row>
    <row r="3" spans="1:18" ht="15" customHeight="1" x14ac:dyDescent="0.25">
      <c r="A3" s="17"/>
      <c r="B3" s="17"/>
      <c r="C3" s="17"/>
      <c r="D3" s="68"/>
      <c r="E3" s="68"/>
      <c r="F3" s="176"/>
      <c r="G3" s="176"/>
      <c r="H3" s="176"/>
      <c r="I3" s="176"/>
      <c r="J3" s="176"/>
      <c r="K3" s="68"/>
      <c r="L3" s="17"/>
      <c r="M3" s="19"/>
      <c r="N3" s="19"/>
      <c r="O3" s="19"/>
      <c r="P3" s="82"/>
    </row>
    <row r="4" spans="1:18" ht="12.95" customHeight="1" x14ac:dyDescent="0.25">
      <c r="A4" s="17"/>
      <c r="B4" s="17"/>
      <c r="C4" s="17"/>
      <c r="D4" s="68"/>
      <c r="E4" s="68"/>
      <c r="F4" s="185" t="str">
        <f>IF(Tabelle1!$A$1=1,"*Alle Angaben und Werte sind ohne Gewähr",IF(Tabelle1!$A$1=2,"*All information and values are without guarantee"))</f>
        <v>*Alle Angaben und Werte sind ohne Gewähr</v>
      </c>
      <c r="G4" s="185"/>
      <c r="H4" s="185"/>
      <c r="I4" s="185"/>
      <c r="J4" s="185"/>
      <c r="K4" s="68"/>
      <c r="L4" s="17"/>
      <c r="M4" s="19"/>
      <c r="N4" s="19"/>
      <c r="O4" s="19"/>
      <c r="P4" s="82"/>
    </row>
    <row r="5" spans="1:18" ht="15" customHeight="1" x14ac:dyDescent="0.25">
      <c r="A5" s="17"/>
      <c r="B5" s="17"/>
      <c r="C5" s="177" t="str">
        <f>IF(Tabelle1!$A$1=1,"1. Dateneingabe",IF(Tabelle1!$A$1=2,"1. Insert data"))</f>
        <v>1. Dateneingabe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9"/>
      <c r="P5" s="82"/>
    </row>
    <row r="6" spans="1:18" ht="6.95" customHeight="1" x14ac:dyDescent="0.25">
      <c r="A6" s="17"/>
      <c r="B6" s="17"/>
      <c r="C6" s="17"/>
      <c r="D6" s="68"/>
      <c r="E6" s="68"/>
      <c r="F6" s="67"/>
      <c r="G6" s="67"/>
      <c r="H6" s="67"/>
      <c r="I6" s="67"/>
      <c r="J6" s="67"/>
      <c r="K6" s="68"/>
      <c r="L6" s="17"/>
      <c r="M6" s="19"/>
      <c r="N6" s="19"/>
      <c r="O6" s="19"/>
      <c r="P6" s="82"/>
    </row>
    <row r="7" spans="1:18" ht="21.95" customHeight="1" thickBot="1" x14ac:dyDescent="0.3">
      <c r="A7" s="17"/>
      <c r="B7" s="17"/>
      <c r="C7" s="115" t="str">
        <f>'PV modules'!B2</f>
        <v>PV-MODULE NAME</v>
      </c>
      <c r="D7" s="115" t="str">
        <f>'PV modules'!C2</f>
        <v>@ TEMP</v>
      </c>
      <c r="E7" s="116" t="str">
        <f>'PV modules'!D2</f>
        <v>Pmpp</v>
      </c>
      <c r="F7" s="116" t="str">
        <f>'PV modules'!E2</f>
        <v>Uoc</v>
      </c>
      <c r="G7" s="117" t="str">
        <f>'PV modules'!F2</f>
        <v>Umpp</v>
      </c>
      <c r="H7" s="116" t="str">
        <f>'PV modules'!G2</f>
        <v>Isc</v>
      </c>
      <c r="I7" s="116" t="str">
        <f>'PV modules'!H2</f>
        <v>Impp</v>
      </c>
      <c r="J7" s="118" t="str">
        <f>'PV modules'!J2</f>
        <v>TEMP KOEFFIZIENT Uoc</v>
      </c>
      <c r="K7" s="119" t="str">
        <f>'PV modules'!L2</f>
        <v>TEMP KOEFFIZIENT Isc</v>
      </c>
      <c r="L7" s="120" t="str">
        <f>'PV modules'!N2</f>
        <v>TEMP KOEFFIZIENT Pmpp</v>
      </c>
      <c r="M7" s="25" t="str">
        <f>'PV modules'!I2</f>
        <v>EFFIZIENZ</v>
      </c>
      <c r="N7" s="25" t="str">
        <f>'PV modules'!R2</f>
        <v>FLÄCHE</v>
      </c>
      <c r="O7" s="19"/>
      <c r="P7" s="82"/>
    </row>
    <row r="8" spans="1:18" ht="12.95" customHeight="1" thickBot="1" x14ac:dyDescent="0.3">
      <c r="A8" s="17"/>
      <c r="B8" s="17"/>
      <c r="C8" s="123"/>
      <c r="D8" s="121" t="str">
        <f>'PV modules'!C3</f>
        <v>°C</v>
      </c>
      <c r="E8" s="121" t="str">
        <f>'PV modules'!D3</f>
        <v>Wp</v>
      </c>
      <c r="F8" s="121" t="str">
        <f>'PV modules'!E3</f>
        <v>Vdc</v>
      </c>
      <c r="G8" s="121" t="str">
        <f>'PV modules'!F3</f>
        <v>Vdc</v>
      </c>
      <c r="H8" s="121" t="str">
        <f>'PV modules'!G3</f>
        <v>A</v>
      </c>
      <c r="I8" s="121" t="str">
        <f>'PV modules'!H3</f>
        <v>A</v>
      </c>
      <c r="J8" s="121" t="str">
        <f>IF(VLOOKUP($C$9,'PV modules'!B4:R500,9,FALSE)&lt;&gt;"",'PV modules'!J3,'PV modules'!K3)</f>
        <v>%/K</v>
      </c>
      <c r="K8" s="121" t="str">
        <f>IF(VLOOKUP($C$9,'PV modules'!B4:R500,11,FALSE)&lt;&gt;"",'PV modules'!L3,'PV modules'!M3)</f>
        <v>%/K</v>
      </c>
      <c r="L8" s="121" t="str">
        <f>IF(VLOOKUP($C$9,'PV modules'!B4:R500,13,FALSE)&lt;&gt;"",'PV modules'!N3,'PV modules'!O3)</f>
        <v>%/K</v>
      </c>
      <c r="M8" s="122" t="str">
        <f>'PV modules'!I3</f>
        <v>%</v>
      </c>
      <c r="N8" s="121" t="str">
        <f>'PV modules'!R3</f>
        <v>m²</v>
      </c>
      <c r="O8" s="19"/>
      <c r="P8" s="82"/>
    </row>
    <row r="9" spans="1:18" ht="12.95" customHeight="1" x14ac:dyDescent="0.25">
      <c r="A9" s="17"/>
      <c r="B9" s="17"/>
      <c r="C9" s="143" t="s">
        <v>120</v>
      </c>
      <c r="D9" s="107">
        <f>VLOOKUP($C$9,'PV modules'!B4:R500,2,FALSE)</f>
        <v>25</v>
      </c>
      <c r="E9" s="108">
        <f>VLOOKUP($C$9,'PV modules'!B4:R500,3,FALSE)</f>
        <v>445</v>
      </c>
      <c r="F9" s="109">
        <f>VLOOKUP($C$9,'PV modules'!B4:R500,4,FALSE)</f>
        <v>36.619999999999997</v>
      </c>
      <c r="G9" s="108">
        <f>VLOOKUP($C$9,'PV modules'!B4:R500,5,FALSE)</f>
        <v>30.72</v>
      </c>
      <c r="H9" s="109">
        <f>VLOOKUP($C$9,'PV modules'!B4:R500,6,FALSE)</f>
        <v>15.42</v>
      </c>
      <c r="I9" s="109">
        <f>VLOOKUP($C$9,'PV modules'!B4:R500,7,FALSE)</f>
        <v>14.49</v>
      </c>
      <c r="J9" s="109">
        <f>IF(VLOOKUP($C$9,'PV modules'!B4:R500,9,FALSE)&lt;&gt;"",VLOOKUP($C$9,'PV modules'!B4:R500,9,FALSE),VLOOKUP($C$9,'PV modules'!B4:R500,10,FALSE))</f>
        <v>-0.22</v>
      </c>
      <c r="K9" s="109">
        <f>IF(VLOOKUP($C$9,'PV modules'!B4:R500,11,FALSE)&lt;&gt;"",VLOOKUP($C$9,'PV modules'!B4:R500,11,FALSE),VLOOKUP($C$9,'PV modules'!B4:R500,12,FALSE))</f>
        <v>0.04</v>
      </c>
      <c r="L9" s="109">
        <f>IF(VLOOKUP($C$9,'PV modules'!B4:R500,13,FALSE)&lt;&gt;"",VLOOKUP($C$9,'PV modules'!B4:R500,13,FALSE),VLOOKUP($C$9,'PV modules'!B4:R500,14,FALSE))</f>
        <v>-0.24</v>
      </c>
      <c r="M9" s="110">
        <f>VLOOKUP($C$9,'PV modules'!B4:R500,8,FALSE)</f>
        <v>0.223</v>
      </c>
      <c r="N9" s="111">
        <f>VLOOKUP($C$9,'PV modules'!B4:R500,17,FALSE)</f>
        <v>1.998108</v>
      </c>
      <c r="O9" s="19"/>
      <c r="P9" s="82"/>
    </row>
    <row r="10" spans="1:18" ht="9.9499999999999993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9"/>
      <c r="L10" s="19"/>
      <c r="M10" s="19"/>
      <c r="N10" s="19"/>
      <c r="O10" s="19"/>
      <c r="P10" s="82"/>
    </row>
    <row r="11" spans="1:18" ht="21.95" customHeight="1" thickBot="1" x14ac:dyDescent="0.3">
      <c r="A11" s="17"/>
      <c r="B11" s="17"/>
      <c r="C11" s="115" t="str">
        <f>Inverter!B2</f>
        <v>PRODUKT</v>
      </c>
      <c r="D11" s="115" t="str">
        <f>Inverter!C2</f>
        <v>TYP</v>
      </c>
      <c r="E11" s="118" t="str">
        <f>Inverter!E2</f>
        <v>ANZAHL MPPT's</v>
      </c>
      <c r="F11" s="116" t="str">
        <f>Inverter!F2</f>
        <v>PV LEISTUNG</v>
      </c>
      <c r="G11" s="124" t="str">
        <f>Inverter!G2</f>
        <v>PV LEISTUNG /MPPT</v>
      </c>
      <c r="H11" s="116" t="str">
        <f>Inverter!H2</f>
        <v>Umppt    MIN</v>
      </c>
      <c r="I11" s="116" t="str">
        <f>Inverter!I2</f>
        <v>Umppt    MAX</v>
      </c>
      <c r="J11" s="116" t="str">
        <f>Inverter!J2</f>
        <v>Uoc    MIN</v>
      </c>
      <c r="K11" s="117" t="str">
        <f>Inverter!K2</f>
        <v>Uoc    MAX</v>
      </c>
      <c r="L11" s="116" t="str">
        <f>Inverter!L2</f>
        <v>Impp &lt; 300Vdc</v>
      </c>
      <c r="M11" s="116" t="str">
        <f>Inverter!M2</f>
        <v>Impp &gt; 300Vdc</v>
      </c>
      <c r="N11" s="116" t="str">
        <f>Inverter!N2</f>
        <v>Isc</v>
      </c>
      <c r="O11" s="19"/>
      <c r="P11" s="82"/>
    </row>
    <row r="12" spans="1:18" ht="12.95" customHeight="1" thickBot="1" x14ac:dyDescent="0.3">
      <c r="A12" s="17"/>
      <c r="B12" s="17"/>
      <c r="C12" s="122"/>
      <c r="D12" s="122"/>
      <c r="E12" s="122"/>
      <c r="F12" s="122" t="str">
        <f>Inverter!F3</f>
        <v>kWp</v>
      </c>
      <c r="G12" s="122" t="str">
        <f>Inverter!G3</f>
        <v>kW</v>
      </c>
      <c r="H12" s="122" t="str">
        <f>Inverter!H3</f>
        <v>Vdc</v>
      </c>
      <c r="I12" s="122" t="str">
        <f>Inverter!I3</f>
        <v>Vdc</v>
      </c>
      <c r="J12" s="122" t="str">
        <f>Inverter!J3</f>
        <v>Vdc</v>
      </c>
      <c r="K12" s="122" t="str">
        <f>Inverter!K3</f>
        <v>Vdc</v>
      </c>
      <c r="L12" s="122" t="str">
        <f>Inverter!L3</f>
        <v>A</v>
      </c>
      <c r="M12" s="122" t="str">
        <f>Inverter!M3</f>
        <v>A</v>
      </c>
      <c r="N12" s="122" t="str">
        <f>Inverter!N3</f>
        <v>A</v>
      </c>
      <c r="O12" s="19"/>
      <c r="P12" s="82"/>
    </row>
    <row r="13" spans="1:18" ht="12.95" customHeight="1" x14ac:dyDescent="0.25">
      <c r="A13" s="17"/>
      <c r="B13" s="17"/>
      <c r="C13" s="143" t="s">
        <v>86</v>
      </c>
      <c r="D13" s="103" t="str">
        <f>VLOOKUP(C13,Inverter!B4:N25,2,FALSE)</f>
        <v>hybrid</v>
      </c>
      <c r="E13" s="103">
        <f>VLOOKUP(C13,Inverter!B4:N25,4,FALSE)</f>
        <v>2</v>
      </c>
      <c r="F13" s="104">
        <f>VLOOKUP(C13,Inverter!B4:N25,5,FALSE)</f>
        <v>15</v>
      </c>
      <c r="G13" s="105">
        <f>VLOOKUP(C13,Inverter!B4:N25,6,FALSE)</f>
        <v>10</v>
      </c>
      <c r="H13" s="104">
        <f>VLOOKUP(C13,Inverter!B4:N25,7,FALSE)</f>
        <v>350</v>
      </c>
      <c r="I13" s="104">
        <f>VLOOKUP(C13,Inverter!B4:N25,8,FALSE)</f>
        <v>800</v>
      </c>
      <c r="J13" s="104">
        <f>VLOOKUP(C13,Inverter!B4:N25,9,FALSE)</f>
        <v>350</v>
      </c>
      <c r="K13" s="105">
        <f>VLOOKUP(C13,Inverter!B4:N25,10,FALSE)</f>
        <v>900</v>
      </c>
      <c r="L13" s="106">
        <f>VLOOKUP(C13,Inverter!B4:N25,11,FALSE)</f>
        <v>18.600000000000001</v>
      </c>
      <c r="M13" s="106">
        <f>VLOOKUP(C13,Inverter!B4:N25,12,FALSE)</f>
        <v>18.600000000000001</v>
      </c>
      <c r="N13" s="106">
        <f>VLOOKUP(C13,Inverter!B4:N25,13,FALSE)</f>
        <v>25</v>
      </c>
      <c r="O13" s="19"/>
      <c r="P13" s="82"/>
    </row>
    <row r="14" spans="1:18" ht="9.9499999999999993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9"/>
      <c r="L14" s="19"/>
      <c r="M14" s="19"/>
      <c r="N14" s="19"/>
      <c r="O14" s="19"/>
      <c r="P14" s="82"/>
    </row>
    <row r="15" spans="1:18" ht="21.95" customHeight="1" thickBot="1" x14ac:dyDescent="0.3">
      <c r="A15" s="17"/>
      <c r="B15" s="17"/>
      <c r="C15" s="125" t="str">
        <f>IF(Tabelle1!$A$1=1,"Temperatureinfluss @",IF(Tabelle1!$A$1=2,"Temperature impact @"))</f>
        <v>Temperatureinfluss @</v>
      </c>
      <c r="D15" s="126" t="s">
        <v>51</v>
      </c>
      <c r="E15" s="125" t="s">
        <v>50</v>
      </c>
      <c r="F15" s="126" t="s">
        <v>20</v>
      </c>
      <c r="G15" s="125" t="s">
        <v>18</v>
      </c>
      <c r="H15" s="125" t="s">
        <v>43</v>
      </c>
      <c r="I15" s="49"/>
      <c r="J15" s="125" t="s">
        <v>56</v>
      </c>
      <c r="K15" s="128" t="s">
        <v>33</v>
      </c>
      <c r="L15" s="128" t="s">
        <v>46</v>
      </c>
      <c r="M15" s="19"/>
      <c r="N15" s="19"/>
      <c r="O15" s="19"/>
      <c r="P15" s="82"/>
    </row>
    <row r="16" spans="1:18" ht="12.95" customHeight="1" thickBot="1" x14ac:dyDescent="0.3">
      <c r="A16" s="17"/>
      <c r="B16" s="17"/>
      <c r="C16" s="123" t="str">
        <f>'PV modules'!C3</f>
        <v>°C</v>
      </c>
      <c r="D16" s="123" t="str">
        <f>'PV modules'!E3</f>
        <v>Vdc</v>
      </c>
      <c r="E16" s="123" t="str">
        <f>'PV modules'!F3</f>
        <v>Vdc</v>
      </c>
      <c r="F16" s="123" t="str">
        <f>'PV modules'!G3</f>
        <v>A</v>
      </c>
      <c r="G16" s="121" t="str">
        <f>'PV modules'!H3</f>
        <v>A</v>
      </c>
      <c r="H16" s="121" t="str">
        <f>'PV modules'!D3</f>
        <v>Wp</v>
      </c>
      <c r="I16" s="49"/>
      <c r="J16" s="123" t="s">
        <v>23</v>
      </c>
      <c r="K16" s="121" t="s">
        <v>24</v>
      </c>
      <c r="L16" s="121" t="s">
        <v>47</v>
      </c>
      <c r="M16" s="19"/>
      <c r="N16" s="19"/>
      <c r="O16" s="19"/>
      <c r="P16" s="82"/>
    </row>
    <row r="17" spans="1:52" ht="12.95" customHeight="1" thickBot="1" x14ac:dyDescent="0.3">
      <c r="A17" s="17"/>
      <c r="B17" s="17"/>
      <c r="C17" s="147">
        <v>70</v>
      </c>
      <c r="D17" s="127">
        <f>F$9+(($C17-$D$9)*$J$17)</f>
        <v>32.994619999999998</v>
      </c>
      <c r="E17" s="127">
        <f>G$9+(($C17-$D$9)*$J$17)</f>
        <v>27.094619999999999</v>
      </c>
      <c r="F17" s="127">
        <f>H$9+(($C17-$D$9)*$K$17)</f>
        <v>15.697559999999999</v>
      </c>
      <c r="G17" s="127">
        <f>I$9+(($C17-$D$9)*$K$17)</f>
        <v>14.76756</v>
      </c>
      <c r="H17" s="127">
        <f>E$9+(($C17-$D$9)*$L$17)</f>
        <v>396.94</v>
      </c>
      <c r="I17" s="21"/>
      <c r="J17" s="112">
        <f>IF(VLOOKUP($C$9,'PV modules'!B4:R500,9,FALSE)&lt;&gt;"",F9*J9/100,J9/1000)</f>
        <v>-8.0563999999999997E-2</v>
      </c>
      <c r="K17" s="112">
        <f>IF(VLOOKUP($C$9,'PV modules'!B4:R500,11,FALSE)&lt;&gt;"",K9*H9/100,K9/1000)</f>
        <v>6.1679999999999999E-3</v>
      </c>
      <c r="L17" s="112">
        <f>IF(VLOOKUP($C$9,'PV modules'!B4:R500,13,FALSE)&lt;&gt;"",L9*E9/100,L9/1000)</f>
        <v>-1.0680000000000001</v>
      </c>
      <c r="M17" s="19"/>
      <c r="N17" s="19"/>
      <c r="O17" s="17"/>
      <c r="P17" s="82"/>
    </row>
    <row r="18" spans="1:52" ht="12.95" customHeight="1" thickTop="1" thickBot="1" x14ac:dyDescent="0.3">
      <c r="A18" s="17"/>
      <c r="B18" s="17"/>
      <c r="C18" s="145">
        <v>-20</v>
      </c>
      <c r="D18" s="111">
        <f>F$9+(($C18-$D$9)*$J$17)</f>
        <v>40.245379999999997</v>
      </c>
      <c r="E18" s="150">
        <f>G$9+(($C18-$D$9)*$J$17)</f>
        <v>34.345379999999999</v>
      </c>
      <c r="F18" s="150">
        <f>H$9+(($C18-$D$9)*$K$17)</f>
        <v>15.142440000000001</v>
      </c>
      <c r="G18" s="150">
        <f>I$9+(($C18-$D$9)*$K$17)</f>
        <v>14.212440000000001</v>
      </c>
      <c r="H18" s="111">
        <f>E$9+(($C18-$D$9)*$L$17)</f>
        <v>493.06</v>
      </c>
      <c r="I18" s="21"/>
      <c r="J18" s="17"/>
      <c r="K18" s="47"/>
      <c r="L18" s="19"/>
      <c r="M18" s="19"/>
      <c r="N18" s="19"/>
      <c r="O18" s="17"/>
      <c r="P18" s="82"/>
    </row>
    <row r="19" spans="1:52" ht="21.95" customHeight="1" thickTop="1" x14ac:dyDescent="0.25">
      <c r="A19" s="17"/>
      <c r="B19" s="17"/>
      <c r="C19" s="148"/>
      <c r="D19" s="149"/>
      <c r="E19" s="22"/>
      <c r="F19" s="21"/>
      <c r="G19" s="42"/>
      <c r="H19" s="151"/>
      <c r="I19" s="21"/>
      <c r="J19" s="17"/>
      <c r="K19" s="19"/>
      <c r="L19" s="19"/>
      <c r="M19" s="19"/>
      <c r="N19" s="19"/>
      <c r="O19" s="19"/>
      <c r="P19" s="82"/>
    </row>
    <row r="20" spans="1:52" ht="15" customHeight="1" x14ac:dyDescent="0.25">
      <c r="A20" s="17"/>
      <c r="B20" s="17"/>
      <c r="C20" s="177" t="str">
        <f>IF(Tabelle1!$A$1=1,"2. Zulässige Modulkonfigurationen",IF(Tabelle1!$A$1=2,"2. Allowed module configurations"))</f>
        <v>2. Zulässige Modulkonfigurationen</v>
      </c>
      <c r="D20" s="177"/>
      <c r="E20" s="177"/>
      <c r="F20" s="177"/>
      <c r="G20" s="177"/>
      <c r="H20" s="133"/>
      <c r="I20" s="133"/>
      <c r="J20" s="178" t="str">
        <f>IF(Tabelle1!$A$1=1,"3. Geplante Modulkonfiguration",IF(Tabelle1!$A$1=2,"3. Planned module configuration"))</f>
        <v>3. Geplante Modulkonfiguration</v>
      </c>
      <c r="K20" s="178"/>
      <c r="L20" s="178"/>
      <c r="M20" s="178"/>
      <c r="N20" s="178"/>
      <c r="O20" s="19"/>
      <c r="P20" s="82"/>
    </row>
    <row r="21" spans="1:52" ht="6.95" customHeight="1" x14ac:dyDescent="0.25">
      <c r="A21" s="17"/>
      <c r="B21" s="17"/>
      <c r="C21" s="17"/>
      <c r="D21" s="22"/>
      <c r="E21" s="22"/>
      <c r="F21" s="21"/>
      <c r="G21" s="42"/>
      <c r="H21" s="42"/>
      <c r="I21" s="21"/>
      <c r="J21" s="17"/>
      <c r="K21" s="17"/>
      <c r="L21" s="17"/>
      <c r="M21" s="17"/>
      <c r="N21" s="17"/>
      <c r="O21" s="19"/>
      <c r="P21" s="82"/>
    </row>
    <row r="22" spans="1:52" ht="21.95" customHeight="1" thickBot="1" x14ac:dyDescent="0.3">
      <c r="A22" s="17"/>
      <c r="B22" s="17"/>
      <c r="C22" s="118" t="str">
        <f>IF(Tabelle1!$A$1=1,"ANZAHL PV-MODULE PRO STRING",IF(Tabelle1!$A$1=2,"NUMBER OF
PV PANELS PER STRING"))</f>
        <v>ANZAHL PV-MODULE PRO STRING</v>
      </c>
      <c r="D22" s="116" t="s">
        <v>59</v>
      </c>
      <c r="E22" s="116" t="s">
        <v>58</v>
      </c>
      <c r="F22" s="116" t="s">
        <v>72</v>
      </c>
      <c r="G22" s="116" t="s">
        <v>71</v>
      </c>
      <c r="H22" s="48"/>
      <c r="I22" s="17"/>
      <c r="J22" s="135" t="str">
        <f>IF(Tabelle1!$A$1=1,"String Konfiguration",IF(Tabelle1!$A$1=2,"String configuration"))</f>
        <v>String Konfiguration</v>
      </c>
      <c r="K22" s="134" t="s">
        <v>76</v>
      </c>
      <c r="L22" s="114" t="s">
        <v>77</v>
      </c>
      <c r="M22" s="114" t="str">
        <f>F11</f>
        <v>PV LEISTUNG</v>
      </c>
      <c r="N22" s="114" t="str">
        <f>N7</f>
        <v>FLÄCHE</v>
      </c>
      <c r="O22" s="17"/>
      <c r="P22" s="82"/>
    </row>
    <row r="23" spans="1:52" ht="12.95" customHeight="1" thickBot="1" x14ac:dyDescent="0.3">
      <c r="A23" s="17"/>
      <c r="B23" s="17"/>
      <c r="C23" s="116" t="str">
        <f>IF(Tabelle1!$A$1=1,"Anzahl",IF(Tabelle1!$A$1=2,"Number"))</f>
        <v>Anzahl</v>
      </c>
      <c r="D23" s="116" t="s">
        <v>23</v>
      </c>
      <c r="E23" s="116" t="s">
        <v>23</v>
      </c>
      <c r="F23" s="116" t="s">
        <v>23</v>
      </c>
      <c r="G23" s="116" t="s">
        <v>23</v>
      </c>
      <c r="H23" s="48"/>
      <c r="I23" s="17"/>
      <c r="J23" s="123"/>
      <c r="K23" s="123" t="str">
        <f>IF(Tabelle1!$A$1=1,"Anzahl",IF(Tabelle1!$A$1=2,"Number"))</f>
        <v>Anzahl</v>
      </c>
      <c r="L23" s="123" t="str">
        <f>IF(Tabelle1!$A$1=1,"Anzahl",IF(Tabelle1!$A$1=2,"Number"))</f>
        <v>Anzahl</v>
      </c>
      <c r="M23" s="123" t="s">
        <v>21</v>
      </c>
      <c r="N23" s="123" t="s">
        <v>25</v>
      </c>
      <c r="O23" s="17"/>
      <c r="P23" s="82"/>
    </row>
    <row r="24" spans="1:52" ht="12.95" customHeight="1" x14ac:dyDescent="0.25">
      <c r="A24" s="17"/>
      <c r="B24" s="17"/>
      <c r="C24" s="11">
        <v>3</v>
      </c>
      <c r="D24" s="113">
        <f t="shared" ref="D24:D25" si="0">C24*$D$18</f>
        <v>120.73613999999999</v>
      </c>
      <c r="E24" s="113">
        <f t="shared" ref="E24:E25" si="1">C24*$D$17</f>
        <v>98.983859999999993</v>
      </c>
      <c r="F24" s="113">
        <f t="shared" ref="F24:F50" si="2">$C24*$E$18</f>
        <v>103.03613999999999</v>
      </c>
      <c r="G24" s="113">
        <f t="shared" ref="G24:G50" si="3">$C24*$E$17</f>
        <v>81.283860000000004</v>
      </c>
      <c r="H24" s="50"/>
      <c r="I24" s="17"/>
      <c r="J24" s="155" t="str">
        <f>IF($E$13&gt;=1, "MPPT1", "")</f>
        <v>MPPT1</v>
      </c>
      <c r="K24" s="145">
        <v>13</v>
      </c>
      <c r="L24" s="144">
        <v>1</v>
      </c>
      <c r="M24" s="111">
        <f>K24*L24*$E$9/1000</f>
        <v>5.7850000000000001</v>
      </c>
      <c r="N24" s="111">
        <f>K24*L24*$N$9</f>
        <v>25.975404000000001</v>
      </c>
      <c r="O24" s="17"/>
      <c r="P24" s="82"/>
    </row>
    <row r="25" spans="1:52" ht="12.95" customHeight="1" x14ac:dyDescent="0.25">
      <c r="A25" s="17"/>
      <c r="B25" s="17"/>
      <c r="C25" s="11">
        <v>4</v>
      </c>
      <c r="D25" s="113">
        <f t="shared" si="0"/>
        <v>160.98151999999999</v>
      </c>
      <c r="E25" s="113">
        <f t="shared" si="1"/>
        <v>131.97847999999999</v>
      </c>
      <c r="F25" s="113">
        <f t="shared" si="2"/>
        <v>137.38151999999999</v>
      </c>
      <c r="G25" s="113">
        <f t="shared" si="3"/>
        <v>108.37848</v>
      </c>
      <c r="H25" s="50"/>
      <c r="I25" s="17"/>
      <c r="J25" s="179" t="s">
        <v>68</v>
      </c>
      <c r="K25" s="180" t="str">
        <f>IF(R91=1,"okay",IF(Tabelle1!$A$1=1,R172,IF(Tabelle1!$A$1=2,R173)))</f>
        <v>okay</v>
      </c>
      <c r="L25" s="182" t="str">
        <f>IF(R93=1,"okay",IF(Tabelle1!$A$1=1,R174,IF(Tabelle1!$A$1=2,R175)))</f>
        <v>okay</v>
      </c>
      <c r="M25" s="183" t="str">
        <f>IF(R94=1,"okay",IF(Tabelle1!$A$1=1,R176,IF(Tabelle1!$A$1=2,R177)))</f>
        <v>okay</v>
      </c>
      <c r="N25" s="50"/>
      <c r="O25" s="17"/>
      <c r="P25" s="82"/>
    </row>
    <row r="26" spans="1:52" ht="12.95" customHeight="1" x14ac:dyDescent="0.25">
      <c r="A26" s="17"/>
      <c r="B26" s="17"/>
      <c r="C26" s="11">
        <v>5</v>
      </c>
      <c r="D26" s="113">
        <f t="shared" ref="D26:D50" si="4">C26*$D$18</f>
        <v>201.2269</v>
      </c>
      <c r="E26" s="113">
        <f t="shared" ref="E26:E50" si="5">C26*$D$17</f>
        <v>164.97309999999999</v>
      </c>
      <c r="F26" s="113">
        <f t="shared" si="2"/>
        <v>171.7269</v>
      </c>
      <c r="G26" s="113">
        <f t="shared" si="3"/>
        <v>135.47309999999999</v>
      </c>
      <c r="H26" s="50"/>
      <c r="I26" s="17"/>
      <c r="J26" s="179"/>
      <c r="K26" s="181"/>
      <c r="L26" s="181"/>
      <c r="M26" s="184"/>
      <c r="N26" s="159"/>
      <c r="O26" s="17"/>
      <c r="P26" s="84"/>
      <c r="AV26" s="77"/>
      <c r="AW26" s="77"/>
      <c r="AX26" s="77"/>
      <c r="AY26" s="77"/>
      <c r="AZ26" s="77"/>
    </row>
    <row r="27" spans="1:52" s="24" customFormat="1" ht="12.95" customHeight="1" x14ac:dyDescent="0.25">
      <c r="A27" s="11"/>
      <c r="B27" s="11"/>
      <c r="C27" s="11">
        <v>6</v>
      </c>
      <c r="D27" s="113">
        <f t="shared" si="4"/>
        <v>241.47227999999998</v>
      </c>
      <c r="E27" s="113">
        <f t="shared" si="5"/>
        <v>197.96771999999999</v>
      </c>
      <c r="F27" s="113">
        <f t="shared" si="2"/>
        <v>206.07227999999998</v>
      </c>
      <c r="G27" s="113">
        <f t="shared" si="3"/>
        <v>162.56772000000001</v>
      </c>
      <c r="H27" s="50"/>
      <c r="I27" s="11"/>
      <c r="J27" s="157"/>
      <c r="K27" s="160"/>
      <c r="L27" s="160"/>
      <c r="M27" s="159"/>
      <c r="N27" s="159"/>
      <c r="O27" s="11"/>
      <c r="P27" s="83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V27" s="92"/>
      <c r="AW27" s="92"/>
      <c r="AX27" s="92"/>
      <c r="AY27" s="92"/>
      <c r="AZ27" s="92"/>
    </row>
    <row r="28" spans="1:52" ht="12.95" customHeight="1" x14ac:dyDescent="0.25">
      <c r="A28" s="17"/>
      <c r="B28" s="17"/>
      <c r="C28" s="11">
        <v>7</v>
      </c>
      <c r="D28" s="113">
        <f t="shared" si="4"/>
        <v>281.71765999999997</v>
      </c>
      <c r="E28" s="113">
        <f>C28*$D$17</f>
        <v>230.96233999999998</v>
      </c>
      <c r="F28" s="113">
        <f t="shared" si="2"/>
        <v>240.41765999999998</v>
      </c>
      <c r="G28" s="113">
        <f t="shared" si="3"/>
        <v>189.66234</v>
      </c>
      <c r="H28" s="50"/>
      <c r="I28" s="17"/>
      <c r="J28" s="155" t="str">
        <f>IF($E$13&gt;=2, "MPPT2", "")</f>
        <v>MPPT2</v>
      </c>
      <c r="K28" s="146">
        <v>14</v>
      </c>
      <c r="L28" s="145">
        <v>1</v>
      </c>
      <c r="M28" s="111">
        <f>K28*L28*$E$9/1000</f>
        <v>6.23</v>
      </c>
      <c r="N28" s="111">
        <f>K28*L28*$N$9</f>
        <v>27.973511999999999</v>
      </c>
      <c r="O28" s="17"/>
      <c r="P28" s="8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V28" s="77"/>
      <c r="AW28" s="77"/>
      <c r="AX28" s="77"/>
      <c r="AY28" s="77"/>
      <c r="AZ28" s="77"/>
    </row>
    <row r="29" spans="1:52" ht="12.95" customHeight="1" x14ac:dyDescent="0.25">
      <c r="A29" s="17"/>
      <c r="B29" s="17"/>
      <c r="C29" s="11">
        <v>8</v>
      </c>
      <c r="D29" s="113">
        <f t="shared" si="4"/>
        <v>321.96303999999998</v>
      </c>
      <c r="E29" s="113">
        <f t="shared" si="5"/>
        <v>263.95695999999998</v>
      </c>
      <c r="F29" s="113">
        <f t="shared" si="2"/>
        <v>274.76303999999999</v>
      </c>
      <c r="G29" s="113">
        <f t="shared" si="3"/>
        <v>216.75695999999999</v>
      </c>
      <c r="H29" s="50"/>
      <c r="I29" s="17"/>
      <c r="J29" s="179" t="s">
        <v>68</v>
      </c>
      <c r="K29" s="180" t="str">
        <f>IF(R99=1,"okay",IF(Tabelle1!$A$1=1,R172,IF(Tabelle1!$A$1=2,R173)))</f>
        <v>okay</v>
      </c>
      <c r="L29" s="182" t="str">
        <f>IF(R101=1,"okay",IF(Tabelle1!$A$1=1,R174,IF(Tabelle1!$A$1=2,R175)))</f>
        <v>okay</v>
      </c>
      <c r="M29" s="182" t="str">
        <f>IF(R102=1,"okay",IF(Tabelle1!$A$1=1,R176,IF(Tabelle1!$A$1=2,R177)))</f>
        <v>okay</v>
      </c>
      <c r="N29" s="17"/>
      <c r="O29" s="17"/>
      <c r="P29" s="8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V29" s="77"/>
      <c r="AW29" s="77"/>
      <c r="AX29" s="77"/>
      <c r="AY29" s="77"/>
      <c r="AZ29" s="77"/>
    </row>
    <row r="30" spans="1:52" ht="12.95" customHeight="1" x14ac:dyDescent="0.25">
      <c r="A30" s="17"/>
      <c r="B30" s="17"/>
      <c r="C30" s="11">
        <v>9</v>
      </c>
      <c r="D30" s="113">
        <f t="shared" si="4"/>
        <v>362.20841999999999</v>
      </c>
      <c r="E30" s="113">
        <f t="shared" si="5"/>
        <v>296.95157999999998</v>
      </c>
      <c r="F30" s="113">
        <f t="shared" si="2"/>
        <v>309.10841999999997</v>
      </c>
      <c r="G30" s="113">
        <f t="shared" si="3"/>
        <v>243.85157999999998</v>
      </c>
      <c r="H30" s="50"/>
      <c r="I30" s="17"/>
      <c r="J30" s="179"/>
      <c r="K30" s="181"/>
      <c r="L30" s="181"/>
      <c r="M30" s="181"/>
      <c r="N30" s="161"/>
      <c r="O30" s="17"/>
      <c r="P30" s="85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V30" s="77"/>
      <c r="AW30" s="77"/>
      <c r="AX30" s="77"/>
      <c r="AY30" s="77"/>
      <c r="AZ30" s="77"/>
    </row>
    <row r="31" spans="1:52" ht="12.95" customHeight="1" x14ac:dyDescent="0.25">
      <c r="A31" s="17"/>
      <c r="B31" s="17"/>
      <c r="C31" s="11">
        <v>10</v>
      </c>
      <c r="D31" s="113">
        <f t="shared" si="4"/>
        <v>402.4538</v>
      </c>
      <c r="E31" s="113">
        <f t="shared" si="5"/>
        <v>329.94619999999998</v>
      </c>
      <c r="F31" s="113">
        <f t="shared" si="2"/>
        <v>343.4538</v>
      </c>
      <c r="G31" s="113">
        <f t="shared" si="3"/>
        <v>270.94619999999998</v>
      </c>
      <c r="H31" s="50"/>
      <c r="I31" s="17"/>
      <c r="J31" s="166"/>
      <c r="K31" s="158"/>
      <c r="L31" s="158"/>
      <c r="M31" s="158"/>
      <c r="N31" s="161"/>
      <c r="O31" s="17"/>
      <c r="P31" s="85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V31" s="77"/>
      <c r="AW31" s="77"/>
      <c r="AX31" s="77"/>
      <c r="AY31" s="77"/>
      <c r="AZ31" s="77"/>
    </row>
    <row r="32" spans="1:52" ht="12.95" customHeight="1" x14ac:dyDescent="0.25">
      <c r="A32" s="17"/>
      <c r="B32" s="17"/>
      <c r="C32" s="11">
        <v>11</v>
      </c>
      <c r="D32" s="113">
        <f t="shared" si="4"/>
        <v>442.69917999999996</v>
      </c>
      <c r="E32" s="113">
        <f t="shared" si="5"/>
        <v>362.94081999999997</v>
      </c>
      <c r="F32" s="113">
        <f t="shared" si="2"/>
        <v>377.79917999999998</v>
      </c>
      <c r="G32" s="113">
        <f t="shared" si="3"/>
        <v>298.04082</v>
      </c>
      <c r="H32" s="50"/>
      <c r="I32" s="17"/>
      <c r="J32" s="167" t="str">
        <f>IF($E$13&gt;=3, "MPPT3", "")</f>
        <v/>
      </c>
      <c r="K32" s="145">
        <v>24</v>
      </c>
      <c r="L32" s="145">
        <v>1</v>
      </c>
      <c r="M32" s="111" t="str">
        <f>IF($E$13&gt;=3, (K32*L32*$E$9/1000), "")</f>
        <v/>
      </c>
      <c r="N32" s="111" t="str">
        <f>IF($E$13&gt;=3, K32*L32*$N$9, "")</f>
        <v/>
      </c>
      <c r="O32" s="17"/>
      <c r="P32" s="85"/>
      <c r="AV32" s="77"/>
      <c r="AW32" s="77"/>
      <c r="AX32" s="77"/>
      <c r="AY32" s="77"/>
      <c r="AZ32" s="77"/>
    </row>
    <row r="33" spans="1:52" ht="12.95" customHeight="1" x14ac:dyDescent="0.25">
      <c r="A33" s="17"/>
      <c r="B33" s="17"/>
      <c r="C33" s="11">
        <v>12</v>
      </c>
      <c r="D33" s="113">
        <f t="shared" si="4"/>
        <v>482.94455999999997</v>
      </c>
      <c r="E33" s="113">
        <f t="shared" si="5"/>
        <v>395.93543999999997</v>
      </c>
      <c r="F33" s="113">
        <f t="shared" si="2"/>
        <v>412.14455999999996</v>
      </c>
      <c r="G33" s="113">
        <f t="shared" si="3"/>
        <v>325.13544000000002</v>
      </c>
      <c r="H33" s="50"/>
      <c r="I33" s="17"/>
      <c r="J33" s="186" t="str">
        <f>IF($E$13&gt;=3, "Status", "")</f>
        <v/>
      </c>
      <c r="K33" s="180" t="str">
        <f>IF($E$13&gt;=3, IF(R107=1,"okay",IF(Tabelle1!$A$1=1,R172,IF(Tabelle1!$A$1=2,R173))), "")</f>
        <v/>
      </c>
      <c r="L33" s="182" t="str">
        <f>IF($E$13&gt;=3, IF(R109=1,"okay",IF(Tabelle1!$A$1=1,R174,IF(Tabelle1!$A$1=2,R175))), "")</f>
        <v/>
      </c>
      <c r="M33" s="183" t="str">
        <f>IF($E$13&gt;=3, IF(R110=1,"okay",IF(Tabelle1!$A$1=1,R176,IF(Tabelle1!$A$1=2,R177))), "")</f>
        <v/>
      </c>
      <c r="N33" s="50"/>
      <c r="O33" s="17"/>
      <c r="P33" s="82"/>
      <c r="AV33" s="77"/>
      <c r="AW33" s="77"/>
      <c r="AX33" s="77"/>
      <c r="AY33" s="77"/>
      <c r="AZ33" s="77"/>
    </row>
    <row r="34" spans="1:52" ht="12.95" customHeight="1" x14ac:dyDescent="0.25">
      <c r="A34" s="17"/>
      <c r="B34" s="17"/>
      <c r="C34" s="11">
        <v>13</v>
      </c>
      <c r="D34" s="113">
        <f t="shared" si="4"/>
        <v>523.18993999999998</v>
      </c>
      <c r="E34" s="113">
        <f t="shared" si="5"/>
        <v>428.93005999999997</v>
      </c>
      <c r="F34" s="113">
        <f t="shared" si="2"/>
        <v>446.48993999999999</v>
      </c>
      <c r="G34" s="113">
        <f t="shared" si="3"/>
        <v>352.23005999999998</v>
      </c>
      <c r="H34" s="50"/>
      <c r="I34" s="17"/>
      <c r="J34" s="186"/>
      <c r="K34" s="180"/>
      <c r="L34" s="182"/>
      <c r="M34" s="183"/>
      <c r="N34" s="159"/>
      <c r="O34" s="17"/>
      <c r="AV34" s="77"/>
      <c r="AW34" s="77"/>
      <c r="AX34" s="77"/>
      <c r="AY34" s="77"/>
      <c r="AZ34" s="77"/>
    </row>
    <row r="35" spans="1:52" ht="12.95" customHeight="1" x14ac:dyDescent="0.25">
      <c r="A35" s="17"/>
      <c r="B35" s="17"/>
      <c r="C35" s="11">
        <v>14</v>
      </c>
      <c r="D35" s="113">
        <f t="shared" si="4"/>
        <v>563.43531999999993</v>
      </c>
      <c r="E35" s="113">
        <f t="shared" si="5"/>
        <v>461.92467999999997</v>
      </c>
      <c r="F35" s="113">
        <f t="shared" si="2"/>
        <v>480.83531999999997</v>
      </c>
      <c r="G35" s="113">
        <f t="shared" si="3"/>
        <v>379.32468</v>
      </c>
      <c r="H35" s="50"/>
      <c r="I35" s="17"/>
      <c r="J35" s="166"/>
      <c r="K35" s="158"/>
      <c r="L35" s="158"/>
      <c r="M35" s="158"/>
      <c r="N35" s="161"/>
      <c r="O35" s="17"/>
      <c r="AV35" s="77"/>
      <c r="AW35" s="77"/>
      <c r="AX35" s="77"/>
      <c r="AY35" s="77"/>
      <c r="AZ35" s="77"/>
    </row>
    <row r="36" spans="1:52" ht="12.95" customHeight="1" x14ac:dyDescent="0.25">
      <c r="A36" s="17"/>
      <c r="B36" s="17"/>
      <c r="C36" s="11">
        <v>15</v>
      </c>
      <c r="D36" s="113">
        <f t="shared" si="4"/>
        <v>603.6807</v>
      </c>
      <c r="E36" s="113">
        <f t="shared" si="5"/>
        <v>494.91929999999996</v>
      </c>
      <c r="F36" s="113">
        <f t="shared" si="2"/>
        <v>515.1807</v>
      </c>
      <c r="G36" s="113">
        <f t="shared" si="3"/>
        <v>406.41929999999996</v>
      </c>
      <c r="H36" s="50"/>
      <c r="I36" s="17"/>
      <c r="J36" s="167" t="str">
        <f>IF($E$13&gt;=4, "MPPT4", "")</f>
        <v/>
      </c>
      <c r="K36" s="145">
        <v>24</v>
      </c>
      <c r="L36" s="145">
        <v>1</v>
      </c>
      <c r="M36" s="111" t="str">
        <f>IF($E$13&gt;=4, K36*L36*$E$9/1000, "")</f>
        <v/>
      </c>
      <c r="N36" s="111" t="str">
        <f>IF($E$13&gt;=4, K36*L36*$N$9, "")</f>
        <v/>
      </c>
      <c r="O36" s="17"/>
      <c r="P36" s="86"/>
      <c r="AV36" s="77"/>
      <c r="AW36" s="77"/>
      <c r="AX36" s="77"/>
      <c r="AY36" s="77"/>
      <c r="AZ36" s="77"/>
    </row>
    <row r="37" spans="1:52" ht="12.95" customHeight="1" x14ac:dyDescent="0.25">
      <c r="A37" s="17"/>
      <c r="B37" s="17"/>
      <c r="C37" s="11">
        <v>16</v>
      </c>
      <c r="D37" s="113">
        <f t="shared" si="4"/>
        <v>643.92607999999996</v>
      </c>
      <c r="E37" s="113">
        <f t="shared" si="5"/>
        <v>527.91391999999996</v>
      </c>
      <c r="F37" s="113">
        <f t="shared" si="2"/>
        <v>549.52607999999998</v>
      </c>
      <c r="G37" s="113">
        <f t="shared" si="3"/>
        <v>433.51391999999998</v>
      </c>
      <c r="H37" s="50"/>
      <c r="I37" s="17"/>
      <c r="J37" s="186" t="str">
        <f>IF($E$13&gt;=4, "Status", "")</f>
        <v/>
      </c>
      <c r="K37" s="180" t="str">
        <f>IF($E$13&gt;=4, IF(R115=1,"okay",IF(Tabelle1!$A$1=1,R172,IF(Tabelle1!$A$1=2,R173))), "")</f>
        <v/>
      </c>
      <c r="L37" s="182" t="str">
        <f>IF($E$13&gt;=4, IF(R117=1,"okay",IF(Tabelle1!$A$1=1,R174,IF(Tabelle1!$A$1=2,R175))), "")</f>
        <v/>
      </c>
      <c r="M37" s="183" t="str">
        <f>IF($E$13&gt;=4, IF(R118=1,"okay",IF(Tabelle1!$A$1=1,R176,IF(Tabelle1!$A$1=2,R177))), "")</f>
        <v/>
      </c>
      <c r="N37" s="50"/>
      <c r="O37" s="17"/>
      <c r="AA37" s="94"/>
      <c r="AC37" s="77"/>
      <c r="AE37" s="95"/>
      <c r="AF37" s="95"/>
      <c r="AG37" s="95"/>
      <c r="AH37" s="96"/>
      <c r="AI37" s="96"/>
      <c r="AJ37" s="94"/>
      <c r="AK37" s="94"/>
      <c r="AV37" s="93"/>
      <c r="AW37" s="93"/>
      <c r="AX37" s="93"/>
      <c r="AY37" s="93"/>
      <c r="AZ37" s="93"/>
    </row>
    <row r="38" spans="1:52" ht="12.95" customHeight="1" x14ac:dyDescent="0.25">
      <c r="A38" s="17"/>
      <c r="B38" s="17"/>
      <c r="C38" s="11">
        <v>17</v>
      </c>
      <c r="D38" s="113">
        <f t="shared" si="4"/>
        <v>684.17145999999991</v>
      </c>
      <c r="E38" s="113">
        <f t="shared" si="5"/>
        <v>560.9085399999999</v>
      </c>
      <c r="F38" s="113">
        <f t="shared" si="2"/>
        <v>583.87145999999996</v>
      </c>
      <c r="G38" s="113">
        <f t="shared" si="3"/>
        <v>460.60854</v>
      </c>
      <c r="H38" s="50"/>
      <c r="I38" s="17"/>
      <c r="J38" s="186"/>
      <c r="K38" s="180"/>
      <c r="L38" s="182"/>
      <c r="M38" s="183"/>
      <c r="N38" s="159"/>
      <c r="O38" s="17"/>
      <c r="P38" s="86"/>
      <c r="AV38" s="93"/>
      <c r="AW38" s="93"/>
      <c r="AX38" s="93"/>
      <c r="AY38" s="93"/>
      <c r="AZ38" s="93"/>
    </row>
    <row r="39" spans="1:52" ht="12.95" customHeight="1" x14ac:dyDescent="0.25">
      <c r="A39" s="17"/>
      <c r="B39" s="17"/>
      <c r="C39" s="11">
        <v>18</v>
      </c>
      <c r="D39" s="113">
        <f t="shared" si="4"/>
        <v>724.41683999999998</v>
      </c>
      <c r="E39" s="113">
        <f t="shared" si="5"/>
        <v>593.90315999999996</v>
      </c>
      <c r="F39" s="113">
        <f t="shared" si="2"/>
        <v>618.21683999999993</v>
      </c>
      <c r="G39" s="113">
        <f t="shared" si="3"/>
        <v>487.70315999999997</v>
      </c>
      <c r="H39" s="50"/>
      <c r="I39" s="17"/>
      <c r="J39" s="157"/>
      <c r="K39" s="161"/>
      <c r="L39" s="161"/>
      <c r="M39" s="159"/>
      <c r="N39" s="161"/>
      <c r="O39" s="17"/>
      <c r="P39" s="82"/>
      <c r="AV39" s="93"/>
      <c r="AW39" s="93"/>
      <c r="AX39" s="93"/>
      <c r="AY39" s="93"/>
      <c r="AZ39" s="93"/>
    </row>
    <row r="40" spans="1:52" ht="12.95" customHeight="1" x14ac:dyDescent="0.25">
      <c r="A40" s="17"/>
      <c r="B40" s="17"/>
      <c r="C40" s="11">
        <v>19</v>
      </c>
      <c r="D40" s="113">
        <f t="shared" si="4"/>
        <v>764.66221999999993</v>
      </c>
      <c r="E40" s="113">
        <f t="shared" si="5"/>
        <v>626.89778000000001</v>
      </c>
      <c r="F40" s="113">
        <f t="shared" si="2"/>
        <v>652.56222000000002</v>
      </c>
      <c r="G40" s="113">
        <f t="shared" si="3"/>
        <v>514.79777999999999</v>
      </c>
      <c r="H40" s="50"/>
      <c r="I40" s="17"/>
      <c r="J40" s="156" t="str">
        <f>IF($E$13&gt;=5, "MPPT5", "")</f>
        <v/>
      </c>
      <c r="K40" s="145">
        <v>24</v>
      </c>
      <c r="L40" s="145">
        <v>3</v>
      </c>
      <c r="M40" s="111" t="str">
        <f>IF($E$13&gt;=5, K40*L40*$E$9/1000, "")</f>
        <v/>
      </c>
      <c r="N40" s="111" t="str">
        <f>IF($E$13&gt;=5, K40*L40*$N$9, "")</f>
        <v/>
      </c>
      <c r="O40" s="17"/>
      <c r="AD40" s="93"/>
      <c r="AE40" s="93"/>
      <c r="AF40" s="93"/>
    </row>
    <row r="41" spans="1:52" ht="12.95" customHeight="1" x14ac:dyDescent="0.25">
      <c r="A41" s="17"/>
      <c r="B41" s="17"/>
      <c r="C41" s="11">
        <v>20</v>
      </c>
      <c r="D41" s="113">
        <f t="shared" si="4"/>
        <v>804.9076</v>
      </c>
      <c r="E41" s="113">
        <f t="shared" si="5"/>
        <v>659.89239999999995</v>
      </c>
      <c r="F41" s="113">
        <f t="shared" si="2"/>
        <v>686.9076</v>
      </c>
      <c r="G41" s="113">
        <f t="shared" si="3"/>
        <v>541.89239999999995</v>
      </c>
      <c r="H41" s="50"/>
      <c r="I41" s="17"/>
      <c r="J41" s="186" t="str">
        <f>IF($E$13&gt;=5, "Status", "")</f>
        <v/>
      </c>
      <c r="K41" s="180" t="str">
        <f>IF($E$13&gt;=5,IF(R123=1,"okay",IF(Tabelle1!$A$1=1,"Falsche Panel-Anzahl","wrong panel number")),"")</f>
        <v/>
      </c>
      <c r="L41" s="182" t="str">
        <f>IF($E$13&gt;=5,IF(R125=1,"okay",IF(Tabelle1!$A$1=1,"Zu viele Strings","to many strings")),"")</f>
        <v/>
      </c>
      <c r="M41" s="183" t="str">
        <f>IF($E$13&gt;=5,IF(R126=1,"okay",IF(Tabelle1!$A$1=1,"Zu viel PV Leistung","too much PV power")),"")</f>
        <v/>
      </c>
      <c r="N41" s="50"/>
      <c r="O41" s="17"/>
      <c r="AD41" s="93"/>
      <c r="AE41" s="93"/>
      <c r="AF41" s="93"/>
    </row>
    <row r="42" spans="1:52" ht="12.95" customHeight="1" x14ac:dyDescent="0.25">
      <c r="A42" s="17"/>
      <c r="B42" s="17"/>
      <c r="C42" s="11">
        <v>21</v>
      </c>
      <c r="D42" s="113">
        <f t="shared" si="4"/>
        <v>845.15297999999996</v>
      </c>
      <c r="E42" s="113">
        <f t="shared" si="5"/>
        <v>692.88701999999989</v>
      </c>
      <c r="F42" s="113">
        <f t="shared" si="2"/>
        <v>721.25297999999998</v>
      </c>
      <c r="G42" s="113">
        <f t="shared" si="3"/>
        <v>568.98702000000003</v>
      </c>
      <c r="H42" s="50"/>
      <c r="I42" s="17"/>
      <c r="J42" s="186"/>
      <c r="K42" s="180"/>
      <c r="L42" s="182"/>
      <c r="M42" s="183"/>
      <c r="N42" s="159"/>
      <c r="O42" s="17"/>
      <c r="P42" s="86"/>
      <c r="AD42" s="93"/>
      <c r="AE42" s="93"/>
      <c r="AF42" s="93"/>
    </row>
    <row r="43" spans="1:52" ht="12.95" customHeight="1" x14ac:dyDescent="0.25">
      <c r="A43" s="17"/>
      <c r="B43" s="17"/>
      <c r="C43" s="11">
        <v>22</v>
      </c>
      <c r="D43" s="113">
        <f t="shared" si="4"/>
        <v>885.39835999999991</v>
      </c>
      <c r="E43" s="113">
        <f t="shared" si="5"/>
        <v>725.88163999999995</v>
      </c>
      <c r="F43" s="113">
        <f t="shared" si="2"/>
        <v>755.59835999999996</v>
      </c>
      <c r="G43" s="113">
        <f t="shared" si="3"/>
        <v>596.08163999999999</v>
      </c>
      <c r="H43" s="50"/>
      <c r="I43" s="17"/>
      <c r="J43" s="157"/>
      <c r="K43" s="161"/>
      <c r="L43" s="161"/>
      <c r="M43" s="162"/>
      <c r="N43" s="161"/>
      <c r="O43" s="70"/>
      <c r="AD43" s="93"/>
      <c r="AE43" s="93"/>
      <c r="AF43" s="93"/>
    </row>
    <row r="44" spans="1:52" ht="12.95" customHeight="1" x14ac:dyDescent="0.25">
      <c r="A44" s="17"/>
      <c r="B44" s="17"/>
      <c r="C44" s="11">
        <v>23</v>
      </c>
      <c r="D44" s="113">
        <f t="shared" si="4"/>
        <v>925.64373999999998</v>
      </c>
      <c r="E44" s="113">
        <f t="shared" si="5"/>
        <v>758.87626</v>
      </c>
      <c r="F44" s="113">
        <f t="shared" si="2"/>
        <v>789.94373999999993</v>
      </c>
      <c r="G44" s="113">
        <f t="shared" si="3"/>
        <v>623.17625999999996</v>
      </c>
      <c r="H44" s="50"/>
      <c r="I44" s="17"/>
      <c r="J44" s="156" t="str">
        <f>IF($E$13&gt;=6, "MPPT6", "")</f>
        <v/>
      </c>
      <c r="K44" s="145">
        <v>24</v>
      </c>
      <c r="L44" s="145">
        <v>3</v>
      </c>
      <c r="M44" s="111" t="str">
        <f>IF($E$13&gt;=6, K44*L44*$E$9/1000, "")</f>
        <v/>
      </c>
      <c r="N44" s="111" t="str">
        <f>IF($E$13&gt;=6, K44*L44*$N$9, "")</f>
        <v/>
      </c>
      <c r="O44" s="70"/>
      <c r="P44" s="87"/>
    </row>
    <row r="45" spans="1:52" ht="12.95" customHeight="1" x14ac:dyDescent="0.25">
      <c r="A45" s="17"/>
      <c r="B45" s="17"/>
      <c r="C45" s="11">
        <v>24</v>
      </c>
      <c r="D45" s="113">
        <f t="shared" si="4"/>
        <v>965.88911999999993</v>
      </c>
      <c r="E45" s="113">
        <f t="shared" si="5"/>
        <v>791.87087999999994</v>
      </c>
      <c r="F45" s="113">
        <f t="shared" si="2"/>
        <v>824.28911999999991</v>
      </c>
      <c r="G45" s="113">
        <f t="shared" si="3"/>
        <v>650.27088000000003</v>
      </c>
      <c r="H45" s="50"/>
      <c r="I45" s="17"/>
      <c r="J45" s="186" t="str">
        <f>IF($E$13&gt;=6, "Status", "")</f>
        <v/>
      </c>
      <c r="K45" s="180" t="str">
        <f>IF($E$13&gt;=6,IF(R131=1,"okay",IF(Tabelle1!$A$1=1,"Falsche Panel-Anzahl","wrong panel number")),"")</f>
        <v/>
      </c>
      <c r="L45" s="182" t="str">
        <f>IF($E$13&gt;=6,IF(R133=1,"okay",IF(Tabelle1!$A$1=1,"Zu viele Strings","to many strings")),"")</f>
        <v/>
      </c>
      <c r="M45" s="183" t="str">
        <f>IF($E$13&gt;=6,IF(R134=1,"okay",IF(Tabelle1!$A$1=1,"Zu viel PV Leistung","too much PV power")),"")</f>
        <v/>
      </c>
      <c r="N45" s="50"/>
      <c r="O45" s="70"/>
      <c r="P45" s="87"/>
      <c r="Z45" s="97"/>
      <c r="AB45" s="98"/>
      <c r="AE45" s="94"/>
      <c r="AF45" s="94"/>
    </row>
    <row r="46" spans="1:52" ht="12.95" customHeight="1" x14ac:dyDescent="0.25">
      <c r="A46" s="17"/>
      <c r="B46" s="17"/>
      <c r="C46" s="11">
        <v>25</v>
      </c>
      <c r="D46" s="113">
        <f t="shared" si="4"/>
        <v>1006.1344999999999</v>
      </c>
      <c r="E46" s="113">
        <f t="shared" si="5"/>
        <v>824.86549999999988</v>
      </c>
      <c r="F46" s="113">
        <f t="shared" si="2"/>
        <v>858.6345</v>
      </c>
      <c r="G46" s="113">
        <f t="shared" si="3"/>
        <v>677.3655</v>
      </c>
      <c r="H46" s="50"/>
      <c r="I46" s="52"/>
      <c r="J46" s="186"/>
      <c r="K46" s="180"/>
      <c r="L46" s="182"/>
      <c r="M46" s="183"/>
      <c r="N46" s="159"/>
      <c r="O46" s="70"/>
      <c r="P46" s="87"/>
    </row>
    <row r="47" spans="1:52" ht="12.95" customHeight="1" x14ac:dyDescent="0.25">
      <c r="A47" s="17"/>
      <c r="B47" s="17"/>
      <c r="C47" s="11">
        <v>26</v>
      </c>
      <c r="D47" s="113">
        <f t="shared" si="4"/>
        <v>1046.37988</v>
      </c>
      <c r="E47" s="113">
        <f t="shared" si="5"/>
        <v>857.86011999999994</v>
      </c>
      <c r="F47" s="113">
        <f t="shared" si="2"/>
        <v>892.97987999999998</v>
      </c>
      <c r="G47" s="113">
        <f t="shared" si="3"/>
        <v>704.46011999999996</v>
      </c>
      <c r="H47" s="50"/>
      <c r="I47" s="52"/>
      <c r="J47" s="130" t="s">
        <v>79</v>
      </c>
      <c r="K47" s="17"/>
      <c r="L47" s="17"/>
      <c r="M47" s="111">
        <f>SUM(M24, M28, M32, M36, M40, M44)</f>
        <v>12.015000000000001</v>
      </c>
      <c r="N47" s="111">
        <f>SUM(N24, N28, N32, N36, N40, N44)</f>
        <v>53.948915999999997</v>
      </c>
      <c r="O47" s="70"/>
      <c r="P47" s="87"/>
    </row>
    <row r="48" spans="1:52" ht="12.95" customHeight="1" x14ac:dyDescent="0.25">
      <c r="A48" s="17"/>
      <c r="B48" s="17"/>
      <c r="C48" s="11">
        <v>27</v>
      </c>
      <c r="D48" s="113">
        <f t="shared" si="4"/>
        <v>1086.62526</v>
      </c>
      <c r="E48" s="113">
        <f t="shared" si="5"/>
        <v>890.85473999999999</v>
      </c>
      <c r="F48" s="113">
        <f t="shared" si="2"/>
        <v>927.32525999999996</v>
      </c>
      <c r="G48" s="113">
        <f t="shared" si="3"/>
        <v>731.55473999999992</v>
      </c>
      <c r="H48" s="50"/>
      <c r="I48" s="52"/>
      <c r="O48" s="17"/>
      <c r="AV48" s="98"/>
      <c r="AW48" s="98"/>
      <c r="AX48" s="98"/>
      <c r="AY48" s="98"/>
      <c r="AZ48" s="98"/>
    </row>
    <row r="49" spans="1:52" ht="12.95" customHeight="1" x14ac:dyDescent="0.25">
      <c r="A49" s="17"/>
      <c r="B49" s="17"/>
      <c r="C49" s="11">
        <v>28</v>
      </c>
      <c r="D49" s="113">
        <f t="shared" si="4"/>
        <v>1126.8706399999999</v>
      </c>
      <c r="E49" s="113">
        <f t="shared" si="5"/>
        <v>923.84935999999993</v>
      </c>
      <c r="F49" s="113">
        <f t="shared" si="2"/>
        <v>961.67063999999993</v>
      </c>
      <c r="G49" s="113">
        <f t="shared" si="3"/>
        <v>758.64936</v>
      </c>
      <c r="H49" s="50"/>
      <c r="I49" s="66"/>
      <c r="J49" s="138" t="str">
        <f>IF(Tabelle1!$A$1=1,"Hinweis :",IF(Tabelle1!$A$1=2,"Note :"))</f>
        <v>Hinweis :</v>
      </c>
      <c r="K49" s="193" t="str">
        <f>IF(AND(Tabelle1!$A$1=1,OR(Q217=1,Q218=1)),R178,"")&amp;IF(AND(Tabelle1!$A$1=2,OR(Q217=1,Q218=1)),R179,"")&amp;IF(AND(Tabelle1!$A$1=1,Q214=1),R180,"")&amp;IF(AND(Tabelle1!$A$1=2,Q214=1),R181,"")&amp;IF(AND(Tabelle1!$A$1=1,Q215=1),R182,"")&amp;IF(AND(Tabelle1!$A$1=2,Q215=1),R183,"")&amp;IF(AND(Tabelle1!$A$1=1,Q216=1),R184,"")&amp;IF(AND(Tabelle1!$A$1=2,Q216=1),R185,"")&amp;IF(AND(Tabelle1!$A$1=1,Q207=1),R186,"")&amp;IF(AND(Tabelle1!$A$1=2,Q207=1),R187,"")&amp;IF(AND(Tabelle1!$A$1=1,Q208=1),R188,"")&amp;IF(AND(Tabelle1!$A$1=2,Q208=1),R189,"")&amp;IF(AND(Tabelle1!$A$1=1,Q209=1),R190,"")&amp;IF(AND(Tabelle1!$A$1=2,Q209=1),R191,"")&amp;IF(AND(Tabelle1!$A$1=1,Q210=1),R192,"")&amp;IF(AND(Tabelle1!$A$1=2,Q210=1),R193,"")&amp;IF(AND(Tabelle1!$A$1=1,Q211=1),R194,"")&amp;IF(AND(Tabelle1!$A$1=2,Q211=1),R195,"")&amp;IF(AND(Tabelle1!$A$1=1,Q212=1),R196,"")&amp;IF(AND(Tabelle1!$A$1=2,Q212=1),R197,"")&amp;IF(AND(Tabelle1!$A$1=1,Q213=1),R198,"")&amp;IF(AND(Tabelle1!$A$1=2,Q213=1),R199,"")</f>
        <v xml:space="preserve">- PV Spannungen unter 300V erhöhen den Lüftergeräuschpegel
- Gesamte AC Wechselrichterleistung ist auf 10kW limitiert (geschützter Bereich &amp; ungeschützter Bereich &amp; Netzeinspeisung)
</v>
      </c>
      <c r="L49" s="193"/>
      <c r="M49" s="193"/>
      <c r="N49" s="194"/>
      <c r="O49" s="17"/>
      <c r="AV49" s="98"/>
      <c r="AW49" s="98"/>
      <c r="AX49" s="98"/>
      <c r="AY49" s="98"/>
      <c r="AZ49" s="98"/>
    </row>
    <row r="50" spans="1:52" ht="21.75" customHeight="1" x14ac:dyDescent="0.25">
      <c r="A50" s="17"/>
      <c r="B50" s="17"/>
      <c r="C50" s="11">
        <v>29</v>
      </c>
      <c r="D50" s="113">
        <f t="shared" si="4"/>
        <v>1167.1160199999999</v>
      </c>
      <c r="E50" s="113">
        <f t="shared" si="5"/>
        <v>956.84397999999987</v>
      </c>
      <c r="F50" s="113">
        <f t="shared" si="2"/>
        <v>996.01601999999991</v>
      </c>
      <c r="G50" s="113">
        <f t="shared" si="3"/>
        <v>785.74397999999997</v>
      </c>
      <c r="H50" s="50"/>
      <c r="I50" s="66"/>
      <c r="J50" s="137"/>
      <c r="K50" s="195"/>
      <c r="L50" s="195"/>
      <c r="M50" s="195"/>
      <c r="N50" s="196"/>
      <c r="O50" s="17"/>
      <c r="P50" s="88"/>
      <c r="AA50" s="86"/>
      <c r="AB50" s="95"/>
      <c r="AC50" s="95"/>
      <c r="AD50" s="99"/>
      <c r="AE50" s="99"/>
      <c r="AF50" s="90"/>
      <c r="AG50" s="100"/>
    </row>
    <row r="51" spans="1:52" ht="12.95" customHeight="1" x14ac:dyDescent="0.25">
      <c r="A51" s="17"/>
      <c r="B51" s="17"/>
      <c r="C51" s="17"/>
      <c r="D51" s="17"/>
      <c r="E51" s="17"/>
      <c r="F51" s="17"/>
      <c r="G51" s="17"/>
      <c r="H51" s="50"/>
      <c r="I51" s="66"/>
      <c r="J51" s="137"/>
      <c r="K51" s="195"/>
      <c r="L51" s="195"/>
      <c r="M51" s="195"/>
      <c r="N51" s="196"/>
      <c r="O51" s="17"/>
    </row>
    <row r="52" spans="1:52" ht="12.95" customHeight="1" thickBot="1" x14ac:dyDescent="0.3">
      <c r="A52" s="17"/>
      <c r="B52" s="17"/>
      <c r="C52" s="129" t="str">
        <f>IF(Tabelle1!$A$1=1,"ANZAHL STRINGS PRO MPPT",IF(Tabelle1!$A$1=2,"NUMBER OF
STRINGS PER MPPT"))</f>
        <v>ANZAHL STRINGS PRO MPPT</v>
      </c>
      <c r="D52" s="129" t="s">
        <v>49</v>
      </c>
      <c r="E52" s="129" t="s">
        <v>73</v>
      </c>
      <c r="F52" s="129" t="s">
        <v>74</v>
      </c>
      <c r="G52" s="129" t="s">
        <v>75</v>
      </c>
      <c r="H52" s="17"/>
      <c r="I52" s="17"/>
      <c r="J52" s="137"/>
      <c r="K52" s="195"/>
      <c r="L52" s="195"/>
      <c r="M52" s="195"/>
      <c r="N52" s="196"/>
      <c r="O52" s="52"/>
    </row>
    <row r="53" spans="1:52" ht="12.95" customHeight="1" x14ac:dyDescent="0.25">
      <c r="A53" s="17"/>
      <c r="B53" s="17"/>
      <c r="C53" s="163" t="str">
        <f>IF(Tabelle1!$A$1=1,"Anzahl",IF(Tabelle1!$A$1=2,"Number"))</f>
        <v>Anzahl</v>
      </c>
      <c r="D53" s="163" t="s">
        <v>24</v>
      </c>
      <c r="E53" s="163" t="s">
        <v>24</v>
      </c>
      <c r="F53" s="163" t="s">
        <v>24</v>
      </c>
      <c r="G53" s="163" t="s">
        <v>24</v>
      </c>
      <c r="H53" s="39"/>
      <c r="I53" s="17"/>
      <c r="J53" s="137"/>
      <c r="K53" s="195"/>
      <c r="L53" s="195"/>
      <c r="M53" s="195"/>
      <c r="N53" s="196"/>
      <c r="O53" s="17"/>
    </row>
    <row r="54" spans="1:52" ht="12.95" customHeight="1" x14ac:dyDescent="0.25">
      <c r="A54" s="17"/>
      <c r="B54" s="17"/>
      <c r="C54" s="164">
        <v>1</v>
      </c>
      <c r="D54" s="165">
        <f>$F$17*$C54</f>
        <v>15.697559999999999</v>
      </c>
      <c r="E54" s="165">
        <f>$F$18*$C54</f>
        <v>15.142440000000001</v>
      </c>
      <c r="F54" s="165">
        <f>$G$17*$C54</f>
        <v>14.76756</v>
      </c>
      <c r="G54" s="165">
        <f>$G$18*$C54</f>
        <v>14.212440000000001</v>
      </c>
      <c r="H54" s="39"/>
      <c r="I54" s="17"/>
      <c r="J54" s="137"/>
      <c r="K54" s="195"/>
      <c r="L54" s="195"/>
      <c r="M54" s="195"/>
      <c r="N54" s="196"/>
      <c r="O54" s="17"/>
    </row>
    <row r="55" spans="1:52" ht="12.95" customHeight="1" x14ac:dyDescent="0.25">
      <c r="A55" s="17"/>
      <c r="B55" s="17"/>
      <c r="C55" s="164">
        <v>2</v>
      </c>
      <c r="D55" s="165">
        <f>$F$17*$C55</f>
        <v>31.395119999999999</v>
      </c>
      <c r="E55" s="165">
        <f>$F$18*$C55</f>
        <v>30.284880000000001</v>
      </c>
      <c r="F55" s="165">
        <f>$G$17*$C55</f>
        <v>29.535119999999999</v>
      </c>
      <c r="G55" s="165">
        <f>$G$18*$C55</f>
        <v>28.424880000000002</v>
      </c>
      <c r="H55" s="39"/>
      <c r="I55" s="17"/>
      <c r="J55" s="137"/>
      <c r="K55" s="195"/>
      <c r="L55" s="195"/>
      <c r="M55" s="195"/>
      <c r="N55" s="196"/>
      <c r="O55" s="17"/>
    </row>
    <row r="56" spans="1:52" ht="15.75" customHeight="1" x14ac:dyDescent="0.25">
      <c r="A56" s="17"/>
      <c r="B56" s="17"/>
      <c r="C56" s="164">
        <v>3</v>
      </c>
      <c r="D56" s="165">
        <f>$F$17*$C56</f>
        <v>47.092680000000001</v>
      </c>
      <c r="E56" s="165">
        <f>$F$18*$C56</f>
        <v>45.427320000000002</v>
      </c>
      <c r="F56" s="165">
        <f>$G$17*$C56</f>
        <v>44.302679999999995</v>
      </c>
      <c r="G56" s="165">
        <f>$G$18*$C56</f>
        <v>42.637320000000003</v>
      </c>
      <c r="H56" s="39"/>
      <c r="I56" s="17"/>
      <c r="J56" s="137"/>
      <c r="K56" s="195"/>
      <c r="L56" s="195"/>
      <c r="M56" s="195"/>
      <c r="N56" s="196"/>
      <c r="O56" s="17"/>
    </row>
    <row r="57" spans="1:52" ht="15.75" customHeight="1" x14ac:dyDescent="0.25">
      <c r="A57" s="17"/>
      <c r="B57" s="17"/>
      <c r="C57" s="164">
        <v>4</v>
      </c>
      <c r="D57" s="165">
        <f>$F$17*$C57</f>
        <v>62.790239999999997</v>
      </c>
      <c r="E57" s="165">
        <f>$F$18*$C57</f>
        <v>60.569760000000002</v>
      </c>
      <c r="F57" s="165">
        <f>$G$17*$C57</f>
        <v>59.070239999999998</v>
      </c>
      <c r="G57" s="165">
        <f>$G$18*$C57</f>
        <v>56.849760000000003</v>
      </c>
      <c r="H57" s="39"/>
      <c r="I57" s="17"/>
      <c r="J57" s="137"/>
      <c r="K57" s="195"/>
      <c r="L57" s="195"/>
      <c r="M57" s="195"/>
      <c r="N57" s="196"/>
      <c r="O57" s="17"/>
    </row>
    <row r="58" spans="1:52" ht="15.75" customHeight="1" x14ac:dyDescent="0.25">
      <c r="A58" s="17"/>
      <c r="B58" s="17"/>
      <c r="C58" s="19"/>
      <c r="D58" s="131"/>
      <c r="E58" s="132"/>
      <c r="F58" s="40"/>
      <c r="G58" s="41"/>
      <c r="H58" s="39"/>
      <c r="I58" s="17"/>
      <c r="J58" s="137"/>
      <c r="K58" s="195"/>
      <c r="L58" s="195"/>
      <c r="M58" s="195"/>
      <c r="N58" s="196"/>
      <c r="O58" s="17"/>
    </row>
    <row r="59" spans="1:52" ht="15.75" customHeight="1" x14ac:dyDescent="0.25">
      <c r="A59" s="17"/>
      <c r="B59" s="17"/>
      <c r="C59" s="19"/>
      <c r="D59" s="131"/>
      <c r="E59" s="132"/>
      <c r="F59" s="40"/>
      <c r="G59" s="41"/>
      <c r="H59" s="39"/>
      <c r="I59" s="17"/>
      <c r="J59" s="137"/>
      <c r="K59" s="195"/>
      <c r="L59" s="195"/>
      <c r="M59" s="195"/>
      <c r="N59" s="196"/>
      <c r="O59" s="17"/>
    </row>
    <row r="60" spans="1:52" ht="15.75" customHeight="1" x14ac:dyDescent="0.25">
      <c r="A60" s="17"/>
      <c r="B60" s="17"/>
      <c r="C60" s="152"/>
      <c r="D60" s="187" t="str">
        <f>IF(Tabelle1!$A$1=1,"→ Eingabefelder",IF(Tabelle1!$A$1=2,"→ Input fields"))</f>
        <v>→ Eingabefelder</v>
      </c>
      <c r="E60" s="187"/>
      <c r="F60" s="187"/>
      <c r="G60" s="187"/>
      <c r="H60" s="39"/>
      <c r="I60" s="17"/>
      <c r="J60" s="137"/>
      <c r="K60" s="195"/>
      <c r="L60" s="195"/>
      <c r="M60" s="195"/>
      <c r="N60" s="196"/>
      <c r="O60" s="17"/>
    </row>
    <row r="61" spans="1:52" ht="15.75" customHeight="1" x14ac:dyDescent="0.25">
      <c r="A61" s="17"/>
      <c r="B61" s="17"/>
      <c r="C61" s="139"/>
      <c r="D61" s="188" t="str">
        <f>"→ Okay"</f>
        <v>→ Okay</v>
      </c>
      <c r="E61" s="188"/>
      <c r="F61" s="188"/>
      <c r="G61" s="188"/>
      <c r="H61" s="39"/>
      <c r="I61" s="17"/>
      <c r="J61" s="137"/>
      <c r="K61" s="195"/>
      <c r="L61" s="195"/>
      <c r="M61" s="195"/>
      <c r="N61" s="196"/>
      <c r="O61" s="17"/>
    </row>
    <row r="62" spans="1:52" ht="15.75" customHeight="1" x14ac:dyDescent="0.25">
      <c r="A62" s="17"/>
      <c r="B62" s="17"/>
      <c r="C62" s="140"/>
      <c r="D62" s="189" t="str">
        <f>IF(Tabelle1!$A$1=1,"→ Konfiguration okay, jedoch mit Limitierungen",IF(Tabelle1!$A$1=2,"→ Configuration okay, but with restrictions"))</f>
        <v>→ Konfiguration okay, jedoch mit Limitierungen</v>
      </c>
      <c r="E62" s="189"/>
      <c r="F62" s="189"/>
      <c r="G62" s="189"/>
      <c r="H62" s="39"/>
      <c r="I62" s="17"/>
      <c r="J62" s="137"/>
      <c r="K62" s="197"/>
      <c r="L62" s="197"/>
      <c r="M62" s="197"/>
      <c r="N62" s="198"/>
      <c r="O62" s="17"/>
    </row>
    <row r="63" spans="1:52" ht="15.75" customHeight="1" x14ac:dyDescent="0.25">
      <c r="A63" s="17"/>
      <c r="B63" s="17"/>
      <c r="C63" s="141"/>
      <c r="D63" s="189" t="str">
        <f>IF(Tabelle1!$A$1=1,"→ Fehlerhafte Konfiguration",IF(Tabelle1!$A$1=2,"→ Faulty configuration"))</f>
        <v>→ Fehlerhafte Konfiguration</v>
      </c>
      <c r="E63" s="189"/>
      <c r="F63" s="189"/>
      <c r="G63" s="189"/>
      <c r="H63" s="39"/>
      <c r="I63" s="17"/>
      <c r="J63" s="190" t="str">
        <f>IF(Tabelle1!$A$1=1,"Beim Ausdruck bitte A3 Format verwenden",IF(Tabelle1!$A$1=2,"Please use A3 format for printing"))</f>
        <v>Beim Ausdruck bitte A3 Format verwenden</v>
      </c>
      <c r="K63" s="191"/>
      <c r="L63" s="191"/>
      <c r="M63" s="191"/>
      <c r="N63" s="192"/>
      <c r="O63" s="17"/>
    </row>
    <row r="64" spans="1:52" ht="15.75" customHeight="1" x14ac:dyDescent="0.25">
      <c r="C64" s="20"/>
      <c r="D64" s="39"/>
      <c r="E64" s="40"/>
      <c r="F64" s="40"/>
      <c r="G64" s="41"/>
      <c r="H64" s="39"/>
      <c r="I64" s="17"/>
      <c r="J64" s="39"/>
      <c r="K64" s="142"/>
      <c r="L64" s="23"/>
      <c r="M64" s="17"/>
      <c r="N64" s="17"/>
      <c r="O64" s="17"/>
    </row>
    <row r="65" spans="6:20" ht="15.75" customHeight="1" x14ac:dyDescent="0.25"/>
    <row r="66" spans="6:20" ht="15.75" customHeight="1" x14ac:dyDescent="0.25"/>
    <row r="67" spans="6:20" ht="15.75" customHeight="1" x14ac:dyDescent="0.25"/>
    <row r="68" spans="6:20" ht="15.75" customHeight="1" x14ac:dyDescent="0.25"/>
    <row r="69" spans="6:20" ht="15.75" customHeight="1" x14ac:dyDescent="0.25"/>
    <row r="70" spans="6:20" ht="15.75" customHeight="1" x14ac:dyDescent="0.25"/>
    <row r="71" spans="6:20" ht="15.75" customHeight="1" x14ac:dyDescent="0.25">
      <c r="T71" s="18" t="s">
        <v>38</v>
      </c>
    </row>
    <row r="72" spans="6:20" ht="15.75" customHeight="1" x14ac:dyDescent="0.25">
      <c r="Q72" s="89" t="s">
        <v>35</v>
      </c>
      <c r="R72" s="18">
        <f>ROUNDUP(H13/E17,0)</f>
        <v>13</v>
      </c>
      <c r="S72" s="18">
        <f>R72*E17</f>
        <v>352.23005999999998</v>
      </c>
      <c r="T72" s="18">
        <f>(R72-1)*E17</f>
        <v>325.13544000000002</v>
      </c>
    </row>
    <row r="73" spans="6:20" ht="15.75" customHeight="1" x14ac:dyDescent="0.25">
      <c r="F73" s="74"/>
      <c r="G73" s="75"/>
      <c r="H73" s="73"/>
      <c r="J73" s="73"/>
      <c r="K73" s="76"/>
      <c r="L73" s="76"/>
      <c r="Q73" s="89" t="s">
        <v>36</v>
      </c>
      <c r="R73" s="18">
        <f>ROUNDUP(J13/D17,0)</f>
        <v>11</v>
      </c>
      <c r="S73" s="18">
        <f>R73*D17</f>
        <v>362.94081999999997</v>
      </c>
      <c r="T73" s="18">
        <f>(R73-1)*D17</f>
        <v>329.94619999999998</v>
      </c>
    </row>
    <row r="74" spans="6:20" ht="15.75" customHeight="1" x14ac:dyDescent="0.25">
      <c r="F74" s="74"/>
      <c r="G74" s="75"/>
      <c r="H74" s="73"/>
      <c r="J74" s="73"/>
      <c r="K74" s="76"/>
      <c r="L74" s="76"/>
      <c r="Q74" s="89" t="s">
        <v>34</v>
      </c>
      <c r="R74" s="18">
        <f>ROUNDDOWN(I13/E18,0)</f>
        <v>23</v>
      </c>
      <c r="S74" s="18">
        <f>R74*E18</f>
        <v>789.94373999999993</v>
      </c>
      <c r="T74" s="18">
        <f>(R74+1)*E18</f>
        <v>824.28911999999991</v>
      </c>
    </row>
    <row r="75" spans="6:20" ht="15.75" customHeight="1" x14ac:dyDescent="0.25">
      <c r="F75" s="74"/>
      <c r="G75" s="75"/>
      <c r="H75" s="73"/>
      <c r="J75" s="73"/>
      <c r="K75" s="76"/>
      <c r="L75" s="76"/>
      <c r="Q75" s="89" t="s">
        <v>37</v>
      </c>
      <c r="R75" s="18">
        <f>ROUNDDOWN(K13/D18,0)</f>
        <v>22</v>
      </c>
      <c r="S75" s="18">
        <f>R78*F17</f>
        <v>15.697559999999999</v>
      </c>
      <c r="T75" s="18">
        <f>(R78+1)*F17</f>
        <v>31.395119999999999</v>
      </c>
    </row>
    <row r="76" spans="6:20" ht="15.75" customHeight="1" x14ac:dyDescent="0.25">
      <c r="F76" s="74"/>
      <c r="G76" s="75"/>
      <c r="H76" s="73"/>
      <c r="J76" s="73"/>
      <c r="K76" s="76"/>
      <c r="L76" s="76"/>
      <c r="Q76" s="89" t="s">
        <v>48</v>
      </c>
      <c r="R76" s="18">
        <f>ROUNDDOWN(G13*1000/H18,0)</f>
        <v>20</v>
      </c>
    </row>
    <row r="77" spans="6:20" ht="15.75" customHeight="1" x14ac:dyDescent="0.25">
      <c r="F77" s="74"/>
      <c r="G77" s="75"/>
      <c r="H77" s="73"/>
      <c r="J77" s="73"/>
      <c r="K77" s="76"/>
      <c r="L77" s="76"/>
      <c r="Q77" s="89" t="s">
        <v>60</v>
      </c>
      <c r="R77" s="18">
        <f>ROUNDDOWN(L13/G17,0)</f>
        <v>1</v>
      </c>
    </row>
    <row r="78" spans="6:20" ht="15.75" customHeight="1" x14ac:dyDescent="0.25">
      <c r="F78" s="74"/>
      <c r="G78" s="75"/>
      <c r="H78" s="73"/>
      <c r="J78" s="73"/>
      <c r="K78" s="76"/>
      <c r="L78" s="76"/>
      <c r="Q78" s="89" t="s">
        <v>57</v>
      </c>
      <c r="R78" s="18">
        <f>MIN(4,ROUNDDOWN(N13/F17,0))</f>
        <v>1</v>
      </c>
    </row>
    <row r="79" spans="6:20" ht="15.75" customHeight="1" x14ac:dyDescent="0.25">
      <c r="F79" s="74"/>
      <c r="G79" s="75"/>
      <c r="H79" s="73"/>
      <c r="J79" s="73"/>
      <c r="K79" s="76"/>
      <c r="L79" s="76"/>
      <c r="Q79" s="89" t="s">
        <v>67</v>
      </c>
      <c r="R79" s="18">
        <f>ROUNDDOWN(M13/G17,0)</f>
        <v>1</v>
      </c>
    </row>
    <row r="80" spans="6:20" ht="15.75" customHeight="1" x14ac:dyDescent="0.25">
      <c r="F80" s="74"/>
      <c r="G80" s="75"/>
      <c r="H80" s="73"/>
      <c r="J80" s="73"/>
      <c r="K80" s="76"/>
      <c r="L80" s="76"/>
    </row>
    <row r="81" spans="6:20" ht="15.75" customHeight="1" x14ac:dyDescent="0.25">
      <c r="F81" s="74"/>
      <c r="G81" s="75"/>
      <c r="H81" s="73"/>
      <c r="J81" s="73"/>
      <c r="K81" s="76"/>
      <c r="L81" s="76"/>
    </row>
    <row r="82" spans="6:20" ht="15.75" customHeight="1" x14ac:dyDescent="0.25">
      <c r="F82" s="74"/>
      <c r="G82" s="75"/>
      <c r="H82" s="73"/>
      <c r="J82" s="73"/>
      <c r="K82" s="76"/>
      <c r="L82" s="76"/>
    </row>
    <row r="83" spans="6:20" ht="15.75" customHeight="1" x14ac:dyDescent="0.25">
      <c r="F83" s="74"/>
      <c r="G83" s="75"/>
      <c r="H83" s="73"/>
      <c r="J83" s="73"/>
      <c r="K83" s="76"/>
      <c r="L83" s="76"/>
    </row>
    <row r="84" spans="6:20" ht="15.75" customHeight="1" x14ac:dyDescent="0.25">
      <c r="F84" s="74"/>
      <c r="G84" s="75"/>
      <c r="H84" s="73"/>
      <c r="J84" s="73"/>
      <c r="K84" s="76"/>
      <c r="L84" s="76"/>
      <c r="Q84" s="89" t="s">
        <v>39</v>
      </c>
      <c r="R84" s="18">
        <f>MAX(R73,R72)</f>
        <v>13</v>
      </c>
    </row>
    <row r="85" spans="6:20" ht="15.75" customHeight="1" x14ac:dyDescent="0.25">
      <c r="F85" s="74"/>
      <c r="G85" s="75"/>
      <c r="H85" s="73"/>
      <c r="J85" s="73"/>
      <c r="K85" s="76"/>
      <c r="L85" s="76"/>
      <c r="Q85" s="89" t="s">
        <v>40</v>
      </c>
      <c r="R85" s="18">
        <f>MIN(R75,R74)</f>
        <v>22</v>
      </c>
    </row>
    <row r="86" spans="6:20" ht="15.75" customHeight="1" x14ac:dyDescent="0.25">
      <c r="F86" s="74"/>
      <c r="G86" s="75"/>
      <c r="H86" s="73"/>
      <c r="J86" s="73"/>
      <c r="K86" s="76"/>
      <c r="L86" s="76"/>
    </row>
    <row r="87" spans="6:20" ht="15.75" customHeight="1" x14ac:dyDescent="0.25">
      <c r="F87" s="74"/>
      <c r="G87" s="75"/>
      <c r="H87" s="73"/>
      <c r="J87" s="73"/>
      <c r="K87" s="76"/>
      <c r="L87" s="76"/>
      <c r="Q87" s="24"/>
      <c r="R87" s="24"/>
      <c r="S87" s="24"/>
      <c r="T87" s="24"/>
    </row>
    <row r="88" spans="6:20" ht="15.75" customHeight="1" x14ac:dyDescent="0.25">
      <c r="F88" s="74"/>
      <c r="G88" s="75"/>
      <c r="H88" s="73"/>
      <c r="J88" s="73"/>
      <c r="K88" s="76"/>
      <c r="L88" s="76"/>
    </row>
    <row r="89" spans="6:20" ht="15.75" customHeight="1" x14ac:dyDescent="0.25">
      <c r="F89" s="74"/>
      <c r="G89" s="75"/>
      <c r="H89" s="73"/>
      <c r="J89" s="73"/>
      <c r="K89" s="76"/>
      <c r="L89" s="76"/>
      <c r="Q89" s="89" t="s">
        <v>62</v>
      </c>
    </row>
    <row r="90" spans="6:20" ht="15.75" customHeight="1" x14ac:dyDescent="0.25">
      <c r="F90" s="74"/>
      <c r="G90" s="75"/>
      <c r="H90" s="73"/>
      <c r="J90" s="73"/>
      <c r="K90" s="76"/>
      <c r="L90" s="76"/>
      <c r="Q90" s="89" t="s">
        <v>61</v>
      </c>
      <c r="R90" s="18">
        <f>IF(SUM(R91:R94)=3,1,0)</f>
        <v>1</v>
      </c>
    </row>
    <row r="91" spans="6:20" ht="15.75" customHeight="1" x14ac:dyDescent="0.25">
      <c r="F91" s="74"/>
      <c r="G91" s="75"/>
      <c r="H91" s="73"/>
      <c r="J91" s="73"/>
      <c r="K91" s="76"/>
      <c r="L91" s="76"/>
      <c r="Q91" s="89" t="s">
        <v>63</v>
      </c>
      <c r="R91" s="18">
        <f>IF(OR(K24=0,AND(K24&gt;=$R$84,K24&lt;=R85)),1,0)</f>
        <v>1</v>
      </c>
    </row>
    <row r="92" spans="6:20" ht="15.75" customHeight="1" x14ac:dyDescent="0.25">
      <c r="F92" s="74"/>
      <c r="G92" s="75"/>
      <c r="H92" s="73"/>
      <c r="J92" s="73"/>
      <c r="K92" s="76"/>
      <c r="L92" s="76"/>
      <c r="Q92" s="89" t="s">
        <v>67</v>
      </c>
      <c r="R92" s="18">
        <f>IF(L24*$G$17&gt;$M$13,1,0)</f>
        <v>0</v>
      </c>
    </row>
    <row r="93" spans="6:20" ht="15.75" customHeight="1" x14ac:dyDescent="0.25">
      <c r="F93" s="74"/>
      <c r="G93" s="75"/>
      <c r="H93" s="73"/>
      <c r="J93" s="73"/>
      <c r="K93" s="76"/>
      <c r="L93" s="76"/>
      <c r="Q93" s="89" t="s">
        <v>65</v>
      </c>
      <c r="R93" s="18">
        <f>IF(AND(L24&gt;=0,L24&lt;=R78),1,0)</f>
        <v>1</v>
      </c>
    </row>
    <row r="94" spans="6:20" ht="15.75" customHeight="1" x14ac:dyDescent="0.25">
      <c r="F94" s="74"/>
      <c r="G94" s="75"/>
      <c r="H94" s="73"/>
      <c r="J94" s="73"/>
      <c r="K94" s="76"/>
      <c r="L94" s="76"/>
      <c r="Q94" s="89" t="s">
        <v>64</v>
      </c>
      <c r="R94" s="18">
        <f>IF(AND(M24&lt;=$G$13),1,0)</f>
        <v>1</v>
      </c>
    </row>
    <row r="95" spans="6:20" ht="15.75" customHeight="1" x14ac:dyDescent="0.25">
      <c r="F95" s="74"/>
      <c r="G95" s="75"/>
      <c r="H95" s="73"/>
      <c r="J95" s="73"/>
      <c r="K95" s="76"/>
      <c r="L95" s="76"/>
    </row>
    <row r="96" spans="6:20" ht="15.75" customHeight="1" x14ac:dyDescent="0.25">
      <c r="F96" s="74"/>
      <c r="G96" s="75"/>
      <c r="H96" s="73"/>
      <c r="J96" s="73"/>
      <c r="K96" s="76"/>
      <c r="L96" s="76"/>
    </row>
    <row r="97" spans="6:18" ht="15.75" customHeight="1" x14ac:dyDescent="0.25">
      <c r="F97" s="74"/>
      <c r="G97" s="75"/>
      <c r="H97" s="73"/>
      <c r="J97" s="73"/>
      <c r="K97" s="76"/>
      <c r="L97" s="76"/>
      <c r="Q97" s="89" t="s">
        <v>66</v>
      </c>
    </row>
    <row r="98" spans="6:18" ht="15.75" customHeight="1" x14ac:dyDescent="0.25">
      <c r="F98" s="74"/>
      <c r="G98" s="75"/>
      <c r="H98" s="73"/>
      <c r="J98" s="73"/>
      <c r="K98" s="76"/>
      <c r="L98" s="76"/>
      <c r="Q98" s="89" t="s">
        <v>61</v>
      </c>
      <c r="R98" s="18">
        <f>IF(SUM(R99:R102)=3,1,0)</f>
        <v>1</v>
      </c>
    </row>
    <row r="99" spans="6:18" ht="15.75" customHeight="1" x14ac:dyDescent="0.25">
      <c r="F99" s="74"/>
      <c r="G99" s="75"/>
      <c r="H99" s="73"/>
      <c r="J99" s="73"/>
      <c r="K99" s="76"/>
      <c r="L99" s="76"/>
      <c r="Q99" s="89" t="s">
        <v>63</v>
      </c>
      <c r="R99" s="18">
        <f>IF(OR(K28=0,AND(K28&gt;=$R$84,K28&lt;=$R$85)),1,0)</f>
        <v>1</v>
      </c>
    </row>
    <row r="100" spans="6:18" ht="15.75" customHeight="1" x14ac:dyDescent="0.25">
      <c r="F100" s="74"/>
      <c r="G100" s="75"/>
      <c r="H100" s="73"/>
      <c r="J100" s="73"/>
      <c r="K100" s="76"/>
      <c r="L100" s="76"/>
      <c r="Q100" s="89" t="s">
        <v>67</v>
      </c>
      <c r="R100" s="18">
        <f>IF(L28*$G$17&gt;$M$13,1,0)</f>
        <v>0</v>
      </c>
    </row>
    <row r="101" spans="6:18" ht="15.75" customHeight="1" x14ac:dyDescent="0.25">
      <c r="F101" s="74"/>
      <c r="G101" s="75"/>
      <c r="H101" s="73"/>
      <c r="J101" s="73"/>
      <c r="K101" s="76"/>
      <c r="L101" s="76"/>
      <c r="Q101" s="89" t="s">
        <v>65</v>
      </c>
      <c r="R101" s="18">
        <f>IF(AND(L28&gt;=0,L28&lt;=$R$78),1,0)</f>
        <v>1</v>
      </c>
    </row>
    <row r="102" spans="6:18" ht="15.75" customHeight="1" x14ac:dyDescent="0.25">
      <c r="F102" s="74"/>
      <c r="G102" s="75"/>
      <c r="H102" s="73"/>
      <c r="J102" s="73"/>
      <c r="K102" s="76"/>
      <c r="L102" s="76"/>
      <c r="Q102" s="89" t="s">
        <v>64</v>
      </c>
      <c r="R102" s="18">
        <f>IF(AND(M28&lt;=$G$13),1,0)</f>
        <v>1</v>
      </c>
    </row>
    <row r="103" spans="6:18" ht="15.75" customHeight="1" x14ac:dyDescent="0.25">
      <c r="F103" s="74"/>
      <c r="G103" s="75"/>
      <c r="H103" s="73"/>
      <c r="J103" s="73"/>
      <c r="K103" s="76"/>
      <c r="L103" s="76"/>
      <c r="Q103" s="89"/>
    </row>
    <row r="104" spans="6:18" ht="15.75" customHeight="1" x14ac:dyDescent="0.25">
      <c r="F104" s="74"/>
      <c r="G104" s="75"/>
      <c r="H104" s="73"/>
      <c r="J104" s="73"/>
      <c r="K104" s="76"/>
      <c r="L104" s="76"/>
      <c r="Q104" s="89"/>
    </row>
    <row r="105" spans="6:18" ht="15.75" customHeight="1" x14ac:dyDescent="0.25">
      <c r="F105" s="74"/>
      <c r="G105" s="75"/>
      <c r="H105" s="73"/>
      <c r="J105" s="73"/>
      <c r="K105" s="76"/>
      <c r="L105" s="76"/>
      <c r="Q105" s="89" t="s">
        <v>97</v>
      </c>
    </row>
    <row r="106" spans="6:18" ht="15.75" customHeight="1" x14ac:dyDescent="0.25">
      <c r="F106" s="74"/>
      <c r="G106" s="75"/>
      <c r="H106" s="73"/>
      <c r="J106" s="73"/>
      <c r="K106" s="76"/>
      <c r="L106" s="76"/>
      <c r="Q106" s="89" t="s">
        <v>61</v>
      </c>
      <c r="R106" s="18">
        <f>IF(SUM(R107:R110)=3,1,0)</f>
        <v>0</v>
      </c>
    </row>
    <row r="107" spans="6:18" ht="15.75" customHeight="1" x14ac:dyDescent="0.25">
      <c r="F107" s="74"/>
      <c r="G107" s="75"/>
      <c r="H107" s="73"/>
      <c r="J107" s="73"/>
      <c r="K107" s="76"/>
      <c r="L107" s="76"/>
      <c r="Q107" s="89" t="s">
        <v>63</v>
      </c>
      <c r="R107" s="18">
        <f>IF(OR(K32=0,AND(K32&gt;=$R$84,K32&lt;=$R$85)),1,0)</f>
        <v>0</v>
      </c>
    </row>
    <row r="108" spans="6:18" ht="15.75" customHeight="1" x14ac:dyDescent="0.25">
      <c r="F108" s="74"/>
      <c r="G108" s="75"/>
      <c r="H108" s="73"/>
      <c r="J108" s="73"/>
      <c r="K108" s="76"/>
      <c r="L108" s="76"/>
      <c r="Q108" s="89" t="s">
        <v>67</v>
      </c>
      <c r="R108" s="18">
        <f>IF(L32*$G$17&gt;$M$13,1,0)</f>
        <v>0</v>
      </c>
    </row>
    <row r="109" spans="6:18" ht="15.75" customHeight="1" x14ac:dyDescent="0.25">
      <c r="F109" s="74"/>
      <c r="G109" s="75"/>
      <c r="H109" s="73"/>
      <c r="J109" s="73"/>
      <c r="K109" s="76"/>
      <c r="L109" s="76"/>
      <c r="Q109" s="89" t="s">
        <v>65</v>
      </c>
      <c r="R109" s="18">
        <f>IF(AND(L32&gt;=0,L32&lt;=$R$78),1,0)</f>
        <v>1</v>
      </c>
    </row>
    <row r="110" spans="6:18" ht="15.75" customHeight="1" x14ac:dyDescent="0.25">
      <c r="F110" s="74"/>
      <c r="G110" s="75"/>
      <c r="H110" s="73"/>
      <c r="J110" s="73"/>
      <c r="K110" s="76"/>
      <c r="L110" s="76"/>
      <c r="Q110" s="89" t="s">
        <v>64</v>
      </c>
      <c r="R110" s="18">
        <f>IF(AND(M32&lt;=$G$13),1,0)</f>
        <v>0</v>
      </c>
    </row>
    <row r="111" spans="6:18" ht="15.75" customHeight="1" x14ac:dyDescent="0.25">
      <c r="F111" s="74"/>
      <c r="G111" s="75"/>
      <c r="H111" s="73"/>
      <c r="J111" s="73"/>
      <c r="K111" s="76"/>
      <c r="L111" s="76"/>
      <c r="Q111" s="89"/>
    </row>
    <row r="112" spans="6:18" ht="15.75" customHeight="1" x14ac:dyDescent="0.25">
      <c r="F112" s="74"/>
      <c r="G112" s="75"/>
      <c r="H112" s="73"/>
      <c r="J112" s="73"/>
      <c r="K112" s="76"/>
      <c r="L112" s="76"/>
      <c r="Q112" s="89"/>
    </row>
    <row r="113" spans="6:18" ht="15.75" customHeight="1" x14ac:dyDescent="0.25">
      <c r="F113" s="74"/>
      <c r="G113" s="75"/>
      <c r="H113" s="73"/>
      <c r="J113" s="73"/>
      <c r="K113" s="76"/>
      <c r="L113" s="76"/>
      <c r="Q113" s="89" t="s">
        <v>98</v>
      </c>
    </row>
    <row r="114" spans="6:18" ht="15.75" customHeight="1" x14ac:dyDescent="0.25">
      <c r="F114" s="74"/>
      <c r="G114" s="75"/>
      <c r="H114" s="73"/>
      <c r="J114" s="73"/>
      <c r="K114" s="76"/>
      <c r="L114" s="76"/>
      <c r="Q114" s="89" t="s">
        <v>61</v>
      </c>
      <c r="R114" s="18">
        <f>IF(SUM(R115:R118)=3,1,0)</f>
        <v>0</v>
      </c>
    </row>
    <row r="115" spans="6:18" ht="15.75" customHeight="1" x14ac:dyDescent="0.25">
      <c r="F115" s="74"/>
      <c r="G115" s="75"/>
      <c r="H115" s="73"/>
      <c r="J115" s="73"/>
      <c r="K115" s="76"/>
      <c r="L115" s="76"/>
      <c r="Q115" s="89" t="s">
        <v>63</v>
      </c>
      <c r="R115" s="18">
        <f>IF(OR(K36=0,AND(K36&gt;=$R$84,K36&lt;=$R$85)),1,0)</f>
        <v>0</v>
      </c>
    </row>
    <row r="116" spans="6:18" ht="15.75" customHeight="1" x14ac:dyDescent="0.25">
      <c r="F116" s="74"/>
      <c r="G116" s="75"/>
      <c r="H116" s="73"/>
      <c r="J116" s="73"/>
      <c r="K116" s="76"/>
      <c r="L116" s="76"/>
      <c r="Q116" s="89" t="s">
        <v>67</v>
      </c>
      <c r="R116" s="18">
        <f>IF(L36*$G$17&gt;$M$13,1,0)</f>
        <v>0</v>
      </c>
    </row>
    <row r="117" spans="6:18" ht="15.75" customHeight="1" x14ac:dyDescent="0.25">
      <c r="F117" s="74"/>
      <c r="G117" s="75"/>
      <c r="H117" s="73"/>
      <c r="J117" s="73"/>
      <c r="K117" s="76"/>
      <c r="L117" s="76"/>
      <c r="Q117" s="89" t="s">
        <v>65</v>
      </c>
      <c r="R117" s="18">
        <f>IF(AND(L36&gt;=0,L36&lt;=$R$78),1,0)</f>
        <v>1</v>
      </c>
    </row>
    <row r="118" spans="6:18" ht="15.75" customHeight="1" x14ac:dyDescent="0.25">
      <c r="F118" s="74"/>
      <c r="G118" s="75"/>
      <c r="H118" s="73"/>
      <c r="J118" s="73"/>
      <c r="K118" s="76"/>
      <c r="L118" s="76"/>
      <c r="Q118" s="89" t="s">
        <v>64</v>
      </c>
      <c r="R118" s="18">
        <f>IF(AND(M36&lt;=$G$13),1,0)</f>
        <v>0</v>
      </c>
    </row>
    <row r="119" spans="6:18" ht="15.75" customHeight="1" x14ac:dyDescent="0.25">
      <c r="F119" s="74"/>
      <c r="G119" s="75"/>
      <c r="H119" s="73"/>
      <c r="J119" s="73"/>
      <c r="K119" s="76"/>
      <c r="L119" s="76"/>
      <c r="Q119" s="89"/>
    </row>
    <row r="120" spans="6:18" ht="15.75" customHeight="1" x14ac:dyDescent="0.25">
      <c r="F120" s="74"/>
      <c r="G120" s="75"/>
      <c r="H120" s="73"/>
      <c r="J120" s="73"/>
      <c r="K120" s="76"/>
      <c r="L120" s="76"/>
      <c r="Q120" s="89"/>
    </row>
    <row r="121" spans="6:18" ht="15.75" customHeight="1" x14ac:dyDescent="0.25">
      <c r="F121" s="74"/>
      <c r="G121" s="75"/>
      <c r="H121" s="73"/>
      <c r="J121" s="73"/>
      <c r="K121" s="76"/>
      <c r="L121" s="76"/>
      <c r="Q121" s="89" t="s">
        <v>148</v>
      </c>
    </row>
    <row r="122" spans="6:18" ht="15.75" customHeight="1" x14ac:dyDescent="0.25">
      <c r="F122" s="74"/>
      <c r="G122" s="75"/>
      <c r="H122" s="73"/>
      <c r="J122" s="73"/>
      <c r="K122" s="76"/>
      <c r="L122" s="76"/>
      <c r="Q122" s="89" t="s">
        <v>61</v>
      </c>
      <c r="R122" s="18">
        <f>IF(SUM(R123:R126)=3,1,0)</f>
        <v>0</v>
      </c>
    </row>
    <row r="123" spans="6:18" ht="15.75" customHeight="1" x14ac:dyDescent="0.25">
      <c r="F123" s="74"/>
      <c r="G123" s="75"/>
      <c r="H123" s="73"/>
      <c r="J123" s="73"/>
      <c r="K123" s="76"/>
      <c r="L123" s="76"/>
      <c r="Q123" s="89" t="s">
        <v>63</v>
      </c>
      <c r="R123" s="18">
        <f>IF(OR(K40=0,AND(K40&gt;=$R$84,K40&lt;=$R$85)),1,0)</f>
        <v>0</v>
      </c>
    </row>
    <row r="124" spans="6:18" ht="15.75" customHeight="1" x14ac:dyDescent="0.25">
      <c r="F124" s="74"/>
      <c r="G124" s="75"/>
      <c r="H124" s="73"/>
      <c r="J124" s="73"/>
      <c r="K124" s="76"/>
      <c r="L124" s="76"/>
      <c r="Q124" s="89" t="s">
        <v>67</v>
      </c>
      <c r="R124" s="18">
        <f>IF(L40*$G$17&gt;$M$13,1,0)</f>
        <v>1</v>
      </c>
    </row>
    <row r="125" spans="6:18" ht="15.75" customHeight="1" x14ac:dyDescent="0.25">
      <c r="F125" s="74"/>
      <c r="G125" s="75"/>
      <c r="H125" s="73"/>
      <c r="J125" s="73"/>
      <c r="K125" s="76"/>
      <c r="L125" s="76"/>
      <c r="Q125" s="89" t="s">
        <v>65</v>
      </c>
      <c r="R125" s="18">
        <f>IF(AND(L40&gt;=0,L40&lt;=$R$78),1,0)</f>
        <v>0</v>
      </c>
    </row>
    <row r="126" spans="6:18" ht="15.75" customHeight="1" x14ac:dyDescent="0.25">
      <c r="F126" s="74"/>
      <c r="G126" s="75"/>
      <c r="H126" s="73"/>
      <c r="J126" s="73"/>
      <c r="K126" s="76"/>
      <c r="L126" s="76"/>
      <c r="Q126" s="89" t="s">
        <v>64</v>
      </c>
      <c r="R126" s="18">
        <f>IF(AND(M40&lt;=$G$13),1,0)</f>
        <v>0</v>
      </c>
    </row>
    <row r="127" spans="6:18" ht="15.75" customHeight="1" x14ac:dyDescent="0.25">
      <c r="F127" s="74"/>
      <c r="G127" s="75"/>
      <c r="H127" s="73"/>
      <c r="J127" s="73"/>
      <c r="K127" s="76"/>
      <c r="L127" s="76"/>
      <c r="Q127" s="89"/>
    </row>
    <row r="128" spans="6:18" ht="15.75" customHeight="1" x14ac:dyDescent="0.25">
      <c r="F128" s="74"/>
      <c r="G128" s="75"/>
      <c r="H128" s="73"/>
      <c r="J128" s="73"/>
      <c r="K128" s="76"/>
      <c r="L128" s="76"/>
      <c r="Q128" s="89"/>
    </row>
    <row r="129" spans="3:18" ht="15.75" customHeight="1" x14ac:dyDescent="0.25">
      <c r="F129" s="74"/>
      <c r="G129" s="75"/>
      <c r="H129" s="73"/>
      <c r="J129" s="73"/>
      <c r="K129" s="76"/>
      <c r="L129" s="76"/>
      <c r="Q129" s="89" t="s">
        <v>149</v>
      </c>
    </row>
    <row r="130" spans="3:18" ht="15.75" customHeight="1" x14ac:dyDescent="0.25">
      <c r="F130" s="74"/>
      <c r="G130" s="75"/>
      <c r="H130" s="73"/>
      <c r="J130" s="73"/>
      <c r="K130" s="76"/>
      <c r="L130" s="76"/>
      <c r="Q130" s="89" t="s">
        <v>61</v>
      </c>
      <c r="R130" s="18">
        <f>IF(SUM(R131:R134)=3,1,0)</f>
        <v>0</v>
      </c>
    </row>
    <row r="131" spans="3:18" ht="15.75" customHeight="1" x14ac:dyDescent="0.25">
      <c r="F131" s="74"/>
      <c r="G131" s="75"/>
      <c r="H131" s="73"/>
      <c r="J131" s="73"/>
      <c r="K131" s="76"/>
      <c r="L131" s="76"/>
      <c r="Q131" s="89" t="s">
        <v>63</v>
      </c>
      <c r="R131" s="18">
        <f>IF(OR(K44=0,AND(K44&gt;=$R$84,K44&lt;=$R$85)),1,0)</f>
        <v>0</v>
      </c>
    </row>
    <row r="132" spans="3:18" ht="15.75" customHeight="1" x14ac:dyDescent="0.25">
      <c r="C132" s="72"/>
      <c r="D132" s="73"/>
      <c r="E132" s="74"/>
      <c r="F132" s="74"/>
      <c r="G132" s="75"/>
      <c r="H132" s="73"/>
      <c r="J132" s="73"/>
      <c r="K132" s="76"/>
      <c r="L132" s="76"/>
      <c r="Q132" s="89" t="s">
        <v>67</v>
      </c>
      <c r="R132" s="18">
        <f>IF(L44*$G$17&gt;$M$13,1,0)</f>
        <v>1</v>
      </c>
    </row>
    <row r="133" spans="3:18" ht="15.75" customHeight="1" x14ac:dyDescent="0.25">
      <c r="C133" s="72"/>
      <c r="D133" s="73"/>
      <c r="E133" s="74"/>
      <c r="F133" s="74"/>
      <c r="G133" s="75"/>
      <c r="H133" s="73"/>
      <c r="J133" s="73"/>
      <c r="K133" s="76"/>
      <c r="L133" s="76"/>
      <c r="Q133" s="89" t="s">
        <v>65</v>
      </c>
      <c r="R133" s="18">
        <f>IF(AND(L44&gt;=0,L44&lt;=$R$78),1,0)</f>
        <v>0</v>
      </c>
    </row>
    <row r="134" spans="3:18" ht="15.75" customHeight="1" x14ac:dyDescent="0.25">
      <c r="C134" s="72"/>
      <c r="D134" s="73"/>
      <c r="E134" s="74"/>
      <c r="F134" s="74"/>
      <c r="G134" s="75"/>
      <c r="H134" s="73"/>
      <c r="J134" s="73"/>
      <c r="K134" s="76"/>
      <c r="L134" s="76"/>
      <c r="Q134" s="89" t="s">
        <v>64</v>
      </c>
      <c r="R134" s="18">
        <f>IF(AND(M44&lt;=$G$13),1,0)</f>
        <v>0</v>
      </c>
    </row>
    <row r="135" spans="3:18" ht="15.75" customHeight="1" x14ac:dyDescent="0.25">
      <c r="C135" s="72"/>
      <c r="D135" s="73"/>
      <c r="E135" s="74"/>
      <c r="F135" s="74"/>
      <c r="G135" s="75"/>
      <c r="H135" s="73"/>
      <c r="J135" s="73"/>
      <c r="K135" s="76"/>
      <c r="L135" s="76"/>
      <c r="Q135" s="89"/>
    </row>
    <row r="136" spans="3:18" ht="15.75" customHeight="1" x14ac:dyDescent="0.25">
      <c r="C136" s="72"/>
      <c r="D136" s="73"/>
      <c r="E136" s="74"/>
      <c r="F136" s="74"/>
      <c r="G136" s="75"/>
      <c r="H136" s="73"/>
      <c r="J136" s="73"/>
      <c r="K136" s="76"/>
      <c r="L136" s="76"/>
      <c r="Q136" s="89"/>
    </row>
    <row r="137" spans="3:18" ht="15.75" customHeight="1" x14ac:dyDescent="0.25">
      <c r="C137" s="72"/>
      <c r="D137" s="73"/>
      <c r="E137" s="74"/>
      <c r="F137" s="74"/>
      <c r="G137" s="75"/>
      <c r="H137" s="73"/>
      <c r="J137" s="73"/>
      <c r="K137" s="76"/>
      <c r="L137" s="76"/>
      <c r="P137" s="154" t="s">
        <v>99</v>
      </c>
      <c r="Q137" s="89" t="s">
        <v>167</v>
      </c>
      <c r="R137" s="18">
        <f>IF(SUM(M24, M28)&gt;Inverter!D4,1,0)</f>
        <v>1</v>
      </c>
    </row>
    <row r="138" spans="3:18" ht="15.75" customHeight="1" x14ac:dyDescent="0.25">
      <c r="C138" s="72"/>
      <c r="D138" s="73"/>
      <c r="E138" s="74"/>
      <c r="F138" s="74"/>
      <c r="G138" s="75"/>
      <c r="H138" s="73"/>
      <c r="J138" s="73"/>
      <c r="K138" s="76"/>
      <c r="L138" s="76"/>
      <c r="Q138" s="89" t="s">
        <v>69</v>
      </c>
      <c r="R138" s="18">
        <f>IF(SUM(M24, M28)&gt;Inverter!F4,1,0)</f>
        <v>0</v>
      </c>
    </row>
    <row r="139" spans="3:18" ht="15.75" customHeight="1" x14ac:dyDescent="0.25">
      <c r="C139" s="72"/>
      <c r="D139" s="73"/>
      <c r="E139" s="74"/>
      <c r="F139" s="74"/>
      <c r="G139" s="75"/>
      <c r="H139" s="73"/>
      <c r="J139" s="73"/>
      <c r="K139" s="76"/>
      <c r="L139" s="76"/>
      <c r="Q139" s="89"/>
    </row>
    <row r="140" spans="3:18" ht="15.75" customHeight="1" x14ac:dyDescent="0.25">
      <c r="C140" s="72"/>
      <c r="D140" s="73"/>
      <c r="E140" s="74"/>
      <c r="F140" s="74"/>
      <c r="G140" s="75"/>
      <c r="H140" s="73"/>
      <c r="J140" s="73"/>
      <c r="K140" s="76"/>
      <c r="L140" s="76"/>
      <c r="P140" s="154" t="s">
        <v>87</v>
      </c>
      <c r="Q140" s="89" t="s">
        <v>167</v>
      </c>
      <c r="R140" s="18">
        <f>IF(SUM(M24, M28)&gt;Inverter!D6,1,0)</f>
        <v>1</v>
      </c>
    </row>
    <row r="141" spans="3:18" ht="15.75" customHeight="1" x14ac:dyDescent="0.25">
      <c r="C141" s="72"/>
      <c r="D141" s="73"/>
      <c r="E141" s="74"/>
      <c r="F141" s="74"/>
      <c r="G141" s="75"/>
      <c r="H141" s="73"/>
      <c r="J141" s="73"/>
      <c r="K141" s="76"/>
      <c r="L141" s="76"/>
      <c r="Q141" s="89" t="s">
        <v>69</v>
      </c>
      <c r="R141" s="18">
        <f>IF(SUM(M24, M28)&gt;Inverter!F6,1,0)</f>
        <v>0</v>
      </c>
    </row>
    <row r="142" spans="3:18" ht="15.75" customHeight="1" x14ac:dyDescent="0.25">
      <c r="C142" s="72"/>
      <c r="D142" s="73"/>
      <c r="E142" s="74"/>
      <c r="F142" s="74"/>
      <c r="G142" s="75"/>
      <c r="H142" s="73"/>
      <c r="J142" s="73"/>
      <c r="K142" s="76"/>
      <c r="L142" s="76"/>
      <c r="Q142" s="89"/>
    </row>
    <row r="143" spans="3:18" ht="15.75" customHeight="1" x14ac:dyDescent="0.25">
      <c r="C143" s="72"/>
      <c r="D143" s="73"/>
      <c r="E143" s="74"/>
      <c r="F143" s="74"/>
      <c r="G143" s="75"/>
      <c r="H143" s="73"/>
      <c r="J143" s="73"/>
      <c r="K143" s="76"/>
      <c r="L143" s="76"/>
      <c r="P143" s="154" t="s">
        <v>88</v>
      </c>
      <c r="Q143" s="89" t="s">
        <v>168</v>
      </c>
      <c r="R143" s="18">
        <f>IF(SUM(M24, M28)&gt;Inverter!D7,1,0)</f>
        <v>0</v>
      </c>
    </row>
    <row r="144" spans="3:18" ht="15.75" customHeight="1" x14ac:dyDescent="0.25">
      <c r="C144" s="72"/>
      <c r="D144" s="73"/>
      <c r="E144" s="74"/>
      <c r="F144" s="74"/>
      <c r="G144" s="75"/>
      <c r="H144" s="73"/>
      <c r="J144" s="73"/>
      <c r="K144" s="76"/>
      <c r="L144" s="76"/>
      <c r="Q144" s="89" t="s">
        <v>100</v>
      </c>
      <c r="R144" s="18">
        <f>IF(SUM(M24, M28)&gt;Inverter!F7,1,0)</f>
        <v>0</v>
      </c>
    </row>
    <row r="145" spans="3:18" ht="15.75" customHeight="1" x14ac:dyDescent="0.25">
      <c r="C145" s="72"/>
      <c r="D145" s="73"/>
      <c r="E145" s="74"/>
      <c r="F145" s="74"/>
      <c r="G145" s="75"/>
      <c r="H145" s="73"/>
      <c r="J145" s="73"/>
      <c r="K145" s="76"/>
      <c r="L145" s="76"/>
      <c r="Q145" s="89"/>
    </row>
    <row r="146" spans="3:18" ht="15.75" customHeight="1" x14ac:dyDescent="0.25">
      <c r="C146" s="72"/>
      <c r="D146" s="73"/>
      <c r="E146" s="74"/>
      <c r="F146" s="74"/>
      <c r="G146" s="75"/>
      <c r="H146" s="73"/>
      <c r="J146" s="73"/>
      <c r="K146" s="76"/>
      <c r="L146" s="76"/>
      <c r="P146" s="154" t="s">
        <v>89</v>
      </c>
      <c r="Q146" s="89" t="s">
        <v>163</v>
      </c>
      <c r="R146" s="18">
        <f>IF(SUM(M24, M28, M32, M36)&gt;Inverter!D8,1,0)</f>
        <v>0</v>
      </c>
    </row>
    <row r="147" spans="3:18" ht="15.75" customHeight="1" x14ac:dyDescent="0.25">
      <c r="C147" s="72"/>
      <c r="D147" s="73"/>
      <c r="E147" s="74"/>
      <c r="F147" s="74"/>
      <c r="G147" s="75"/>
      <c r="H147" s="73"/>
      <c r="J147" s="73"/>
      <c r="K147" s="76"/>
      <c r="L147" s="76"/>
      <c r="Q147" s="89" t="s">
        <v>101</v>
      </c>
      <c r="R147" s="18">
        <f>IF(SUM(M24, M28, M32, M36)&gt;Inverter!F8,1,0)</f>
        <v>0</v>
      </c>
    </row>
    <row r="148" spans="3:18" ht="15.75" customHeight="1" x14ac:dyDescent="0.25">
      <c r="C148" s="72"/>
      <c r="D148" s="73"/>
      <c r="E148" s="74"/>
      <c r="F148" s="74"/>
      <c r="G148" s="75"/>
      <c r="H148" s="73"/>
      <c r="J148" s="73"/>
      <c r="K148" s="76"/>
      <c r="L148" s="76"/>
      <c r="Q148" s="89"/>
    </row>
    <row r="149" spans="3:18" ht="15.75" customHeight="1" x14ac:dyDescent="0.25">
      <c r="C149" s="72"/>
      <c r="D149" s="73"/>
      <c r="E149" s="74"/>
      <c r="F149" s="74"/>
      <c r="G149" s="75"/>
      <c r="H149" s="73"/>
      <c r="J149" s="73"/>
      <c r="K149" s="76"/>
      <c r="L149" s="76"/>
      <c r="P149" s="154" t="s">
        <v>127</v>
      </c>
      <c r="Q149" s="89" t="s">
        <v>163</v>
      </c>
      <c r="R149" s="18">
        <f>IF(SUM(M24, M28, M32, M36)&gt;Inverter!D9,1,0)</f>
        <v>0</v>
      </c>
    </row>
    <row r="150" spans="3:18" ht="15.75" customHeight="1" x14ac:dyDescent="0.25">
      <c r="C150" s="72"/>
      <c r="D150" s="73"/>
      <c r="E150" s="74"/>
      <c r="F150" s="74"/>
      <c r="G150" s="75"/>
      <c r="H150" s="73"/>
      <c r="J150" s="73"/>
      <c r="K150" s="76"/>
      <c r="L150" s="76"/>
      <c r="Q150" s="89" t="s">
        <v>162</v>
      </c>
      <c r="R150" s="18">
        <f>IF(SUM(M24, M28, M32, M36)&gt;Inverter!F9,1,0)</f>
        <v>0</v>
      </c>
    </row>
    <row r="151" spans="3:18" ht="15.75" customHeight="1" x14ac:dyDescent="0.25">
      <c r="C151" s="72"/>
      <c r="D151" s="73"/>
      <c r="E151" s="74"/>
      <c r="F151" s="74"/>
      <c r="G151" s="75"/>
      <c r="H151" s="73"/>
      <c r="J151" s="73"/>
      <c r="K151" s="76"/>
      <c r="L151" s="76"/>
    </row>
    <row r="152" spans="3:18" ht="15.75" customHeight="1" x14ac:dyDescent="0.25">
      <c r="C152" s="72"/>
      <c r="D152" s="73"/>
      <c r="E152" s="74"/>
      <c r="F152" s="74"/>
      <c r="G152" s="75"/>
      <c r="H152" s="73"/>
      <c r="J152" s="73"/>
      <c r="K152" s="76"/>
      <c r="L152" s="76"/>
      <c r="P152" s="154" t="s">
        <v>128</v>
      </c>
      <c r="Q152" s="89" t="s">
        <v>164</v>
      </c>
      <c r="R152" s="18">
        <f>IF(SUM(M24, M28, M32, M36)&gt;Inverter!D10,1,0)</f>
        <v>0</v>
      </c>
    </row>
    <row r="153" spans="3:18" ht="15.75" customHeight="1" x14ac:dyDescent="0.25">
      <c r="C153" s="72"/>
      <c r="D153" s="73"/>
      <c r="E153" s="74"/>
      <c r="F153" s="74"/>
      <c r="G153" s="75"/>
      <c r="H153" s="73"/>
      <c r="J153" s="73"/>
      <c r="K153" s="76"/>
      <c r="L153" s="76"/>
      <c r="Q153" s="89" t="s">
        <v>160</v>
      </c>
      <c r="R153" s="18">
        <f>IF(SUM(M24, M28, M32, M36)&gt;Inverter!F10,1,0)</f>
        <v>0</v>
      </c>
    </row>
    <row r="154" spans="3:18" x14ac:dyDescent="0.25">
      <c r="C154" s="72"/>
      <c r="D154" s="73"/>
      <c r="E154" s="74"/>
      <c r="F154" s="74"/>
      <c r="G154" s="75"/>
      <c r="H154" s="73"/>
      <c r="J154" s="73"/>
      <c r="K154" s="76"/>
      <c r="L154" s="76"/>
    </row>
    <row r="155" spans="3:18" x14ac:dyDescent="0.25">
      <c r="C155" s="72"/>
      <c r="D155" s="73"/>
      <c r="E155" s="74"/>
      <c r="F155" s="74"/>
      <c r="G155" s="75"/>
      <c r="H155" s="73"/>
      <c r="J155" s="73"/>
      <c r="K155" s="76"/>
      <c r="L155" s="76"/>
      <c r="P155" s="154" t="s">
        <v>133</v>
      </c>
      <c r="Q155" s="89" t="s">
        <v>165</v>
      </c>
      <c r="R155" s="18">
        <f>IF(SUM(M24, M28, M32, M36, M40, M44)&gt;Inverter!D11,1,0)</f>
        <v>0</v>
      </c>
    </row>
    <row r="156" spans="3:18" x14ac:dyDescent="0.25">
      <c r="C156" s="72"/>
      <c r="D156" s="73"/>
      <c r="E156" s="74"/>
      <c r="F156" s="74"/>
      <c r="G156" s="75"/>
      <c r="H156" s="73"/>
      <c r="J156" s="73"/>
      <c r="K156" s="76"/>
      <c r="L156" s="76"/>
      <c r="Q156" s="89" t="s">
        <v>161</v>
      </c>
      <c r="R156" s="18">
        <f>IF(SUM(M24, M28, M32, M36, M40, M44)&gt;Inverter!F11,1,0)</f>
        <v>0</v>
      </c>
    </row>
    <row r="157" spans="3:18" x14ac:dyDescent="0.25">
      <c r="C157" s="72"/>
      <c r="D157" s="73"/>
      <c r="E157" s="74"/>
      <c r="F157" s="74"/>
      <c r="G157" s="75"/>
      <c r="H157" s="73"/>
      <c r="J157" s="73"/>
      <c r="K157" s="76"/>
      <c r="L157" s="76"/>
    </row>
    <row r="158" spans="3:18" x14ac:dyDescent="0.25">
      <c r="C158" s="72"/>
      <c r="D158" s="73"/>
      <c r="E158" s="74"/>
      <c r="F158" s="74"/>
      <c r="G158" s="75"/>
      <c r="H158" s="73"/>
      <c r="J158" s="73"/>
      <c r="K158" s="76"/>
      <c r="L158" s="76"/>
      <c r="P158" s="154" t="s">
        <v>130</v>
      </c>
      <c r="Q158" s="89" t="s">
        <v>166</v>
      </c>
      <c r="R158" s="18">
        <f>IF(SUM(M24, M28, M32, M36, M40, M44)&gt;Inverter!D12,1,0)</f>
        <v>0</v>
      </c>
    </row>
    <row r="159" spans="3:18" x14ac:dyDescent="0.25">
      <c r="C159" s="72"/>
      <c r="D159" s="73"/>
      <c r="E159" s="74"/>
      <c r="F159" s="74"/>
      <c r="G159" s="75"/>
      <c r="H159" s="73"/>
      <c r="J159" s="73"/>
      <c r="K159" s="76"/>
      <c r="L159" s="76"/>
      <c r="Q159" s="89" t="s">
        <v>159</v>
      </c>
      <c r="R159" s="18">
        <f>IF(SUM(M24, M28, M32, M36, M40, M44)&gt;Inverter!F12,1,0)</f>
        <v>0</v>
      </c>
    </row>
    <row r="160" spans="3:18" x14ac:dyDescent="0.25">
      <c r="C160" s="72"/>
      <c r="D160" s="73"/>
      <c r="E160" s="74"/>
      <c r="F160" s="74"/>
      <c r="G160" s="75"/>
      <c r="H160" s="73"/>
      <c r="J160" s="73"/>
      <c r="K160" s="76"/>
      <c r="L160" s="76"/>
    </row>
    <row r="161" spans="3:50" x14ac:dyDescent="0.25">
      <c r="C161" s="72"/>
      <c r="D161" s="73"/>
      <c r="E161" s="74"/>
      <c r="F161" s="74"/>
      <c r="G161" s="75"/>
      <c r="H161" s="73"/>
      <c r="J161" s="73"/>
      <c r="K161" s="76"/>
      <c r="L161" s="76"/>
      <c r="P161" s="154" t="s">
        <v>131</v>
      </c>
      <c r="Q161" s="89" t="s">
        <v>167</v>
      </c>
      <c r="R161" s="18">
        <f>IF(SUM(M24, M28, M32, M36)&gt;Inverter!D13,1,0)</f>
        <v>1</v>
      </c>
    </row>
    <row r="162" spans="3:50" x14ac:dyDescent="0.25">
      <c r="C162" s="72"/>
      <c r="D162" s="73"/>
      <c r="E162" s="74"/>
      <c r="F162" s="74"/>
      <c r="G162" s="75"/>
      <c r="H162" s="73"/>
      <c r="J162" s="73"/>
      <c r="K162" s="76"/>
      <c r="L162" s="76"/>
      <c r="Q162" s="89" t="s">
        <v>102</v>
      </c>
      <c r="R162" s="18">
        <f>IF(SUM(M24, M28, M32, M36)&gt;Inverter!F13,1,0)</f>
        <v>0</v>
      </c>
    </row>
    <row r="163" spans="3:50" x14ac:dyDescent="0.25">
      <c r="C163" s="72"/>
      <c r="D163" s="73"/>
      <c r="E163" s="74"/>
      <c r="F163" s="74"/>
      <c r="G163" s="75"/>
      <c r="H163" s="73"/>
      <c r="J163" s="73"/>
      <c r="K163" s="76"/>
      <c r="L163" s="76"/>
    </row>
    <row r="164" spans="3:50" x14ac:dyDescent="0.25">
      <c r="C164" s="72"/>
      <c r="D164" s="73"/>
      <c r="E164" s="74"/>
      <c r="F164" s="74"/>
      <c r="G164" s="75"/>
      <c r="H164" s="73"/>
      <c r="J164" s="73"/>
      <c r="K164" s="76"/>
      <c r="L164" s="76"/>
      <c r="P164" s="154" t="s">
        <v>132</v>
      </c>
      <c r="Q164" s="89" t="s">
        <v>168</v>
      </c>
      <c r="R164" s="18">
        <f>IF(SUM(M24, M28, M32, M36)&gt;Inverter!D14,1,0)</f>
        <v>0</v>
      </c>
    </row>
    <row r="165" spans="3:50" x14ac:dyDescent="0.25">
      <c r="C165" s="72"/>
      <c r="D165" s="74"/>
      <c r="E165" s="74"/>
      <c r="F165" s="74"/>
      <c r="G165" s="75"/>
      <c r="H165" s="73"/>
      <c r="J165" s="73"/>
      <c r="K165" s="76"/>
      <c r="L165" s="76"/>
      <c r="Q165" s="89" t="s">
        <v>158</v>
      </c>
      <c r="R165" s="18">
        <f>IF(SUM(M24, M28, M32, M36)&gt;Inverter!F14,1,0)</f>
        <v>0</v>
      </c>
    </row>
    <row r="166" spans="3:50" x14ac:dyDescent="0.25">
      <c r="C166" s="72"/>
      <c r="D166" s="74"/>
      <c r="E166" s="74"/>
      <c r="F166" s="74"/>
      <c r="G166" s="75"/>
      <c r="H166" s="73"/>
      <c r="J166" s="73"/>
      <c r="K166" s="76"/>
      <c r="L166" s="76"/>
      <c r="AA166" s="86"/>
      <c r="AB166" s="95"/>
      <c r="AC166" s="95"/>
      <c r="AD166" s="99"/>
      <c r="AE166" s="99"/>
      <c r="AF166" s="90"/>
      <c r="AG166" s="100"/>
    </row>
    <row r="167" spans="3:50" x14ac:dyDescent="0.25">
      <c r="C167" s="72"/>
      <c r="D167" s="74"/>
      <c r="E167" s="74"/>
      <c r="F167" s="74"/>
      <c r="G167" s="75"/>
      <c r="H167" s="73"/>
      <c r="J167" s="73"/>
      <c r="K167" s="76"/>
      <c r="L167" s="76"/>
      <c r="P167" s="154" t="s">
        <v>129</v>
      </c>
      <c r="Q167" s="89" t="s">
        <v>163</v>
      </c>
      <c r="R167" s="18">
        <f>IF(SUM(M24, M28, M32, M36)&gt;Inverter!D15,1,0)</f>
        <v>0</v>
      </c>
      <c r="AR167" s="94"/>
      <c r="AS167" s="94"/>
      <c r="AT167" s="94"/>
      <c r="AU167" s="94"/>
      <c r="AV167" s="94"/>
      <c r="AW167" s="94"/>
      <c r="AX167" s="94"/>
    </row>
    <row r="168" spans="3:50" x14ac:dyDescent="0.25">
      <c r="C168" s="72"/>
      <c r="D168" s="74"/>
      <c r="E168" s="74"/>
      <c r="F168" s="74"/>
      <c r="G168" s="75"/>
      <c r="H168" s="73"/>
      <c r="J168" s="73"/>
      <c r="K168" s="76"/>
      <c r="L168" s="76"/>
      <c r="Q168" s="89" t="s">
        <v>157</v>
      </c>
      <c r="R168" s="18">
        <f>IF(SUM(M24, M28, M32, M36)&gt;Inverter!F15,1,0)</f>
        <v>0</v>
      </c>
      <c r="AS168" s="94"/>
      <c r="AT168" s="94"/>
      <c r="AU168" s="94"/>
      <c r="AV168" s="94"/>
      <c r="AW168" s="94"/>
      <c r="AX168" s="94"/>
    </row>
    <row r="169" spans="3:50" x14ac:dyDescent="0.25">
      <c r="C169" s="72"/>
      <c r="D169" s="74"/>
      <c r="E169" s="74"/>
      <c r="F169" s="74"/>
      <c r="G169" s="75"/>
      <c r="H169" s="73"/>
      <c r="J169" s="73"/>
      <c r="K169" s="76"/>
      <c r="L169" s="76"/>
    </row>
    <row r="170" spans="3:50" x14ac:dyDescent="0.25">
      <c r="C170" s="72"/>
      <c r="D170" s="74"/>
      <c r="E170" s="74"/>
      <c r="F170" s="74"/>
      <c r="G170" s="75"/>
      <c r="H170" s="73"/>
      <c r="J170" s="73"/>
      <c r="K170" s="76"/>
      <c r="L170" s="76"/>
    </row>
    <row r="171" spans="3:50" x14ac:dyDescent="0.25">
      <c r="C171" s="72"/>
      <c r="D171" s="74"/>
      <c r="E171" s="74"/>
      <c r="F171" s="74"/>
      <c r="G171" s="75"/>
      <c r="H171" s="73"/>
      <c r="J171" s="73"/>
      <c r="K171" s="76"/>
      <c r="L171" s="76"/>
      <c r="AR171" s="94"/>
    </row>
    <row r="172" spans="3:50" x14ac:dyDescent="0.25">
      <c r="C172" s="72"/>
      <c r="D172" s="74"/>
      <c r="E172" s="74"/>
      <c r="F172" s="74"/>
      <c r="G172" s="75"/>
      <c r="H172" s="73"/>
      <c r="J172" s="73"/>
      <c r="K172" s="76"/>
      <c r="L172" s="76"/>
      <c r="R172" s="136" t="s">
        <v>121</v>
      </c>
    </row>
    <row r="173" spans="3:50" x14ac:dyDescent="0.25">
      <c r="C173" s="72"/>
      <c r="D173" s="74"/>
      <c r="E173" s="74"/>
      <c r="F173" s="74"/>
      <c r="G173" s="75"/>
      <c r="H173" s="73"/>
      <c r="J173" s="73"/>
      <c r="K173" s="76"/>
      <c r="L173" s="76"/>
      <c r="R173" s="136" t="s">
        <v>80</v>
      </c>
    </row>
    <row r="174" spans="3:50" x14ac:dyDescent="0.25">
      <c r="C174" s="72"/>
      <c r="D174" s="74"/>
      <c r="E174" s="74"/>
      <c r="F174" s="74"/>
      <c r="G174" s="75"/>
      <c r="H174" s="73"/>
      <c r="J174" s="73"/>
      <c r="K174" s="76"/>
      <c r="L174" s="76"/>
      <c r="R174" s="136" t="s">
        <v>81</v>
      </c>
      <c r="Z174" s="101"/>
      <c r="AA174" s="101"/>
      <c r="AB174" s="101"/>
      <c r="AC174" s="86"/>
      <c r="AD174" s="102"/>
      <c r="AE174" s="102"/>
      <c r="AF174" s="90"/>
      <c r="AG174" s="90"/>
      <c r="AH174" s="90"/>
    </row>
    <row r="175" spans="3:50" x14ac:dyDescent="0.25">
      <c r="C175" s="72"/>
      <c r="D175" s="74"/>
      <c r="E175" s="74"/>
      <c r="F175" s="74"/>
      <c r="G175" s="75"/>
      <c r="H175" s="73"/>
      <c r="J175" s="73"/>
      <c r="K175" s="76"/>
      <c r="L175" s="76"/>
      <c r="R175" s="136" t="s">
        <v>83</v>
      </c>
    </row>
    <row r="176" spans="3:50" x14ac:dyDescent="0.25">
      <c r="C176" s="72"/>
      <c r="D176" s="74"/>
      <c r="E176" s="74"/>
      <c r="F176" s="74"/>
      <c r="G176" s="75"/>
      <c r="H176" s="73"/>
      <c r="J176" s="73"/>
      <c r="K176" s="76"/>
      <c r="L176" s="76"/>
      <c r="R176" s="136" t="s">
        <v>82</v>
      </c>
    </row>
    <row r="177" spans="3:47" x14ac:dyDescent="0.25">
      <c r="C177" s="72"/>
      <c r="D177" s="74"/>
      <c r="E177" s="74"/>
      <c r="F177" s="74"/>
      <c r="G177" s="75"/>
      <c r="H177" s="73"/>
      <c r="J177" s="73"/>
      <c r="K177" s="76"/>
      <c r="L177" s="76"/>
      <c r="R177" s="136" t="s">
        <v>122</v>
      </c>
      <c r="AR177" s="94"/>
      <c r="AS177" s="94"/>
      <c r="AT177" s="94"/>
      <c r="AU177" s="94"/>
    </row>
    <row r="178" spans="3:47" x14ac:dyDescent="0.25">
      <c r="C178" s="72"/>
      <c r="D178" s="74"/>
      <c r="E178" s="74"/>
      <c r="F178" s="74"/>
      <c r="G178" s="75"/>
      <c r="H178" s="73"/>
      <c r="J178" s="73"/>
      <c r="K178" s="76"/>
      <c r="L178" s="76"/>
      <c r="Q178" s="18" t="s">
        <v>108</v>
      </c>
      <c r="R178" s="136" t="str">
        <f>IF(OR(Q217=1,Q218=1),"- PV Spannungen unter 300V erhöhen den Lüftergeräuschpegel"&amp;CHAR(10),"")&amp;IF(R137=1,"- Gesamte AC Wechselrichterleistung ist auf 10kW limitiert (geschützter Bereich &amp; ungeschützter Bereich &amp; Netzeinspeisung)"&amp;CHAR(10),"")&amp;IF(OR(AND(K24&gt;0,K24*$E$17&lt;300),AND(K28&gt;0,K28*$E$17&lt;300)),"- PV Spannungen unter 300V limitieren Impp des Wechselrichters auf 15A"&amp;CHAR(10),"")&amp;IF(R138=1,"- PV Leistung ist grösser als die PV-Wechselrichterleistung"&amp;CHAR(10),"")&amp;IF(OR(R100=1,R92=1),"- PV-Strom ist grösser als der maximale PV-Wechselrichterstrom"&amp;CHAR(10),"")</f>
        <v xml:space="preserve">- PV Spannungen unter 300V erhöhen den Lüftergeräuschpegel
- Gesamte AC Wechselrichterleistung ist auf 10kW limitiert (geschützter Bereich &amp; ungeschützter Bereich &amp; Netzeinspeisung)
</v>
      </c>
      <c r="AR178" s="94"/>
      <c r="AS178" s="94"/>
      <c r="AT178" s="94"/>
      <c r="AU178" s="94"/>
    </row>
    <row r="179" spans="3:47" x14ac:dyDescent="0.25">
      <c r="C179" s="72"/>
      <c r="D179" s="74"/>
      <c r="E179" s="74"/>
      <c r="F179" s="74"/>
      <c r="G179" s="75"/>
      <c r="H179" s="73"/>
      <c r="J179" s="73"/>
      <c r="K179" s="76"/>
      <c r="L179" s="76"/>
      <c r="O179" s="77"/>
      <c r="Q179" s="18" t="s">
        <v>109</v>
      </c>
      <c r="R179" s="136" t="str">
        <f>IF(OR(Q217=1,Q218=1),"- PV voltages below 300V increases the fan noise level"&amp;CHAR(10),"")&amp;IF(R137=1,"- Total AC inverter power is limited to 10kW"&amp;CHAR(10)&amp;"(protected loads &amp; unprotected loads &amp; grid-injection)"&amp;CHAR(10),"")&amp;IF(OR(AND(K24&gt;0,K24*$E$17&lt;300),AND(K28&gt;0,K28*$E$17&lt;300)),"- PV voltage below 300V limits the Inverters Impp to 15A"&amp;CHAR(10),"")&amp;IF(R138=1,"- PV power is bigger than maximum inverter PV power"&amp;CHAR(10),"")&amp;IF(OR(R100=1,R92=1),"- PV current is bigger than maximum PV inverter current"&amp;CHAR(10),"")</f>
        <v xml:space="preserve">- PV voltages below 300V increases the fan noise level
- Total AC inverter power is limited to 10kW
(protected loads &amp; unprotected loads &amp; grid-injection)
</v>
      </c>
      <c r="S179" s="77"/>
    </row>
    <row r="180" spans="3:47" x14ac:dyDescent="0.25">
      <c r="C180" s="72"/>
      <c r="D180" s="74"/>
      <c r="E180" s="74"/>
      <c r="F180" s="74"/>
      <c r="G180" s="75"/>
      <c r="H180" s="73"/>
      <c r="J180" s="73"/>
      <c r="K180" s="76"/>
      <c r="L180" s="76"/>
      <c r="O180" s="77"/>
      <c r="Q180" s="18" t="s">
        <v>110</v>
      </c>
      <c r="R180" s="136" t="str">
        <f>IF(AND(Q214=1,R140=1),"- Gesamte AC Wechselrichterleistung ist auf 10kW limitiert (geschützter Bereich &amp; ungeschützter Bereich &amp; Netzeinspeisung)"&amp;CHAR(10),"")&amp;IF(R141=1,"- PV Leistung ist grösser als die PV-Wechselrichterleistung"&amp;CHAR(10),"")&amp;IF(OR(R100=1,R92=1),"- PV-Strom ist grösser als der maximale PV-Wechselrichterstrom"&amp;CHAR(10),"")</f>
        <v/>
      </c>
      <c r="S180" s="77"/>
    </row>
    <row r="181" spans="3:47" x14ac:dyDescent="0.25">
      <c r="C181" s="72"/>
      <c r="D181" s="74"/>
      <c r="E181" s="74"/>
      <c r="F181" s="74"/>
      <c r="G181" s="75"/>
      <c r="H181" s="73"/>
      <c r="J181" s="73"/>
      <c r="K181" s="76"/>
      <c r="L181" s="76"/>
      <c r="O181" s="77"/>
      <c r="Q181" s="18" t="s">
        <v>111</v>
      </c>
      <c r="R181" s="136" t="str">
        <f>IF(AND(Q214=1,R140=1),"- Total AC inverter power is limited to 10kW"&amp;CHAR(10)&amp;"(protected loads &amp; unprotected loads &amp; grid-injection)"&amp;CHAR(10),"")&amp;IF(R141=1,"- PV power is bigger than maximum inverter PV power"&amp;CHAR(10),"")&amp;IF(OR(R100=1,R92=1),"- PV current is bigger than maximum PV inverter current"&amp;CHAR(10),"")</f>
        <v/>
      </c>
      <c r="S181" s="77"/>
    </row>
    <row r="182" spans="3:47" x14ac:dyDescent="0.25">
      <c r="C182" s="72"/>
      <c r="D182" s="74"/>
      <c r="E182" s="74"/>
      <c r="F182" s="74"/>
      <c r="G182" s="75"/>
      <c r="H182" s="73"/>
      <c r="J182" s="73"/>
      <c r="K182" s="76"/>
      <c r="L182" s="76"/>
      <c r="O182" s="77"/>
      <c r="Q182" s="18" t="s">
        <v>112</v>
      </c>
      <c r="R182" s="136" t="str">
        <f>IF(AND(Q215=1,R143=1),"- Gesamte AC Wechselrichterleistung ist auf 20kW limitiert (geschützter Bereich &amp; ungeschützter Bereich &amp; Netzeinspeisung)"&amp;CHAR(10),"")&amp;IF(R144=1,"- PV Leistung ist grösser als die PV-Wechselrichterleistung"&amp;CHAR(10),"")&amp;IF(OR(R100=1,R92=1),"- PV-Strom ist grösser als der maximale PV-Wechselrichterstrom"&amp;CHAR(10),"")</f>
        <v/>
      </c>
      <c r="S182" s="77"/>
    </row>
    <row r="183" spans="3:47" x14ac:dyDescent="0.25">
      <c r="C183" s="72"/>
      <c r="D183" s="74"/>
      <c r="E183" s="74"/>
      <c r="F183" s="74"/>
      <c r="G183" s="75"/>
      <c r="H183" s="73"/>
      <c r="J183" s="73"/>
      <c r="K183" s="76"/>
      <c r="L183" s="76"/>
      <c r="O183" s="77"/>
      <c r="Q183" s="18" t="s">
        <v>113</v>
      </c>
      <c r="R183" s="136" t="str">
        <f>IF(AND(Q215=1,R143=1),"- Total AC inverter power is limited to 20kW"&amp;CHAR(10)&amp;"(protected loads &amp; unprotected loads &amp; grid-injection)"&amp;CHAR(10),"")&amp;IF(R144=1,"- PV power is bigger than maximum inverter PV power"&amp;CHAR(10),"")&amp;IF(OR(R100=1,R92=1),"- PV current is bigger than maximum PV inverter current"&amp;CHAR(10),"")</f>
        <v/>
      </c>
      <c r="S183" s="77"/>
    </row>
    <row r="184" spans="3:47" x14ac:dyDescent="0.25">
      <c r="C184" s="72"/>
      <c r="D184" s="74"/>
      <c r="E184" s="74"/>
      <c r="F184" s="74"/>
      <c r="G184" s="75"/>
      <c r="H184" s="73"/>
      <c r="J184" s="73"/>
      <c r="K184" s="76"/>
      <c r="L184" s="76"/>
      <c r="O184" s="77"/>
      <c r="Q184" s="18" t="s">
        <v>114</v>
      </c>
      <c r="R184" s="136" t="str">
        <f>IF(AND(Q216=1,R146=1),"- Gesamte AC Wechselrichterleistung ist auf 30kW limitiert (geschützter Bereich &amp; ungeschützter Bereich &amp; Netzeinspeisung)"&amp;CHAR(10),"")&amp;IF(R147=1,"- PV Leistung ist grösser als die PV-Wechselrichterleistung"&amp;CHAR(10),"")&amp;IF(OR(R100=1,R92=1,R108=1,R116=1),"- PV-Strom ist grösser als der maximale PV-Wechselrichterstrom"&amp;CHAR(10),"")</f>
        <v/>
      </c>
      <c r="S184" s="77"/>
    </row>
    <row r="185" spans="3:47" x14ac:dyDescent="0.25">
      <c r="C185" s="72"/>
      <c r="D185" s="74"/>
      <c r="E185" s="74"/>
      <c r="F185" s="74"/>
      <c r="G185" s="75"/>
      <c r="H185" s="73"/>
      <c r="J185" s="73"/>
      <c r="K185" s="76"/>
      <c r="L185" s="76"/>
      <c r="O185" s="77"/>
      <c r="Q185" s="18" t="s">
        <v>115</v>
      </c>
      <c r="R185" s="136" t="str">
        <f>IF(AND(Q216=1,R146=1),"- Total AC inverter power is limited to 30kW"&amp;CHAR(10)&amp;"(protected loads &amp; unprotected loads &amp; grid-injection)"&amp;CHAR(10),"")&amp;IF(R147=1,"- PV power is bigger than maximum inverter PV power"&amp;CHAR(10),"")&amp;IF(OR(R100=1,R92=1),"- PV current is bigger than maximum PV inverter current"&amp;CHAR(10),"")</f>
        <v/>
      </c>
      <c r="S185" s="77"/>
    </row>
    <row r="186" spans="3:47" x14ac:dyDescent="0.25">
      <c r="C186" s="72"/>
      <c r="D186" s="74"/>
      <c r="E186" s="74"/>
      <c r="F186" s="74"/>
      <c r="G186" s="75"/>
      <c r="H186" s="73"/>
      <c r="J186" s="73"/>
      <c r="K186" s="76"/>
      <c r="L186" s="76"/>
      <c r="O186" s="77"/>
      <c r="Q186" s="18" t="s">
        <v>134</v>
      </c>
      <c r="R186" s="136" t="str">
        <f>IF(AND(Q207=1,R149=1),"- Gesamte AC Wechselrichterleistung ist auf 30kW limitiert (geschützter Bereich &amp; ungeschützter Bereich &amp; Netzeinspeisung)"&amp;CHAR(10),"")&amp;IF(R150=1,"- PV Leistung ist grösser als die PV-Wechselrichterleistung"&amp;CHAR(10),"")&amp;IF(OR(R92=1,R100=1,R108=1,R116=1),"- PV-Strom ist grösser als der maximale PV-Wechselrichterstrom"&amp;CHAR(10),"")</f>
        <v/>
      </c>
      <c r="S186" s="77"/>
    </row>
    <row r="187" spans="3:47" x14ac:dyDescent="0.25">
      <c r="C187" s="72"/>
      <c r="D187" s="74"/>
      <c r="E187" s="74"/>
      <c r="F187" s="74"/>
      <c r="G187" s="75"/>
      <c r="H187" s="73"/>
      <c r="J187" s="73"/>
      <c r="K187" s="76"/>
      <c r="L187" s="76"/>
      <c r="O187" s="77"/>
      <c r="Q187" s="18" t="s">
        <v>135</v>
      </c>
      <c r="R187" s="136" t="str">
        <f>IF(AND(Q207=1,R149=1),"- Total AC inverter power is limited to 30kW"&amp;CHAR(10)&amp;"(protected loads &amp; unprotected loads &amp; grid-injection)"&amp;CHAR(10),"")&amp;IF(R150=1,"- PV power is bigger than maximum inverter PV power"&amp;CHAR(10),"")&amp;IF(OR(R92=1,R100=1,R108=1,R116=1),"- PV current is bigger than maximum PV inverter current"&amp;CHAR(10),"")</f>
        <v/>
      </c>
      <c r="S187" s="77"/>
    </row>
    <row r="188" spans="3:47" x14ac:dyDescent="0.25">
      <c r="C188" s="72"/>
      <c r="D188" s="74"/>
      <c r="E188" s="74"/>
      <c r="F188" s="74"/>
      <c r="G188" s="75"/>
      <c r="H188" s="73"/>
      <c r="J188" s="73"/>
      <c r="K188" s="76"/>
      <c r="L188" s="76"/>
      <c r="O188" s="77"/>
      <c r="Q188" s="18" t="s">
        <v>136</v>
      </c>
      <c r="R188" s="136" t="str">
        <f>IF(AND(Q208=1,R152=1),"- Gesamte AC Wechselrichterleistung ist auf 50kW limitiert (geschützter Bereich &amp; ungeschützter Bereich &amp; Netzeinspeisung)"&amp;CHAR(10),"")&amp;IF(R153=1,"- PV Leistung ist grösser als die PV-Wechselrichterleistung"&amp;CHAR(10),"")&amp;IF(OR(R92=1,R100=1,R108=1,R116=1),"- PV-Strom ist grösser als der maximale PV-Wechselrichterstrom"&amp;CHAR(10),"")</f>
        <v/>
      </c>
      <c r="S188" s="77"/>
    </row>
    <row r="189" spans="3:47" x14ac:dyDescent="0.25">
      <c r="C189" s="72"/>
      <c r="D189" s="74"/>
      <c r="E189" s="74"/>
      <c r="F189" s="74"/>
      <c r="G189" s="75"/>
      <c r="H189" s="73"/>
      <c r="J189" s="73"/>
      <c r="K189" s="76"/>
      <c r="L189" s="76"/>
      <c r="O189" s="77"/>
      <c r="Q189" s="18" t="s">
        <v>137</v>
      </c>
      <c r="R189" s="136" t="str">
        <f>IF(AND(Q208=1,R152=1),"- Total AC inverter power is limited to 50kW"&amp;CHAR(10)&amp;"(protected loads &amp; unprotected loads &amp; grid-injection)"&amp;CHAR(10),"")&amp;IF(R153=1,"- PV power is bigger than maximum inverter PV power"&amp;CHAR(10),"")&amp;IF(OR(R92=1,R100=1,R108=1,R116=1),"- PV current is bigger than maximum PV inverter current"&amp;CHAR(10),"")</f>
        <v/>
      </c>
      <c r="S189" s="77"/>
    </row>
    <row r="190" spans="3:47" x14ac:dyDescent="0.25">
      <c r="C190" s="72"/>
      <c r="D190" s="74"/>
      <c r="E190" s="74"/>
      <c r="F190" s="74"/>
      <c r="G190" s="75"/>
      <c r="H190" s="73"/>
      <c r="J190" s="73"/>
      <c r="K190" s="76"/>
      <c r="L190" s="76"/>
      <c r="O190" s="77"/>
      <c r="Q190" s="18" t="s">
        <v>138</v>
      </c>
      <c r="R190" s="136" t="str">
        <f>IF(AND(Q209=1,R155=1),"- Gesamte AC Wechselrichterleistung ist auf 100kW limitiert (geschützter Bereich &amp; ungeschützter Bereich &amp; Netzeinspeisung)"&amp;CHAR(10),"")&amp;IF(R156=1,"- PV Leistung ist grösser als die PV-Wechselrichterleistung"&amp;CHAR(10),"")&amp;IF(OR(R92=1,R100=1,R108=1,R116=1,R124=1,R132=1),"- PV-Strom ist grösser als der maximale PV-Wechselrichterstrom"&amp;CHAR(10),"")</f>
        <v xml:space="preserve">- PV-Strom ist grösser als der maximale PV-Wechselrichterstrom
</v>
      </c>
      <c r="S190" s="77"/>
    </row>
    <row r="191" spans="3:47" x14ac:dyDescent="0.25">
      <c r="C191" s="72"/>
      <c r="D191" s="74"/>
      <c r="E191" s="74"/>
      <c r="F191" s="74"/>
      <c r="G191" s="75"/>
      <c r="H191" s="73"/>
      <c r="J191" s="73"/>
      <c r="K191" s="76"/>
      <c r="L191" s="76"/>
      <c r="O191" s="77"/>
      <c r="Q191" s="18" t="s">
        <v>143</v>
      </c>
      <c r="R191" s="136" t="str">
        <f>IF(AND(Q209=1,R155=1),"- Total AC inverter power is limited to 100kW"&amp;CHAR(10)&amp;"(protected loads &amp; unprotected loads &amp; grid-injection)"&amp;CHAR(10),"")&amp;IF(R156=1,"- PV power is bigger than maximum inverter PV power"&amp;CHAR(10),"")&amp;IF(OR(R92=1,R100=1,R108=1,R116=1,R124=1,R132=1),"- PV current is bigger than maximum PV inverter current"&amp;CHAR(10),"")</f>
        <v xml:space="preserve">- PV current is bigger than maximum PV inverter current
</v>
      </c>
      <c r="S191" s="77"/>
    </row>
    <row r="192" spans="3:47" x14ac:dyDescent="0.25">
      <c r="C192" s="72"/>
      <c r="D192" s="74"/>
      <c r="E192" s="74"/>
      <c r="F192" s="74"/>
      <c r="G192" s="75"/>
      <c r="H192" s="73"/>
      <c r="J192" s="73"/>
      <c r="K192" s="76"/>
      <c r="L192" s="76"/>
      <c r="O192" s="77"/>
      <c r="Q192" s="18" t="s">
        <v>139</v>
      </c>
      <c r="R192" s="136" t="str">
        <f>IF(AND(Q210=1,R158=1),"- Gesamte AC Wechselrichterleistung ist auf 125kW limitiert (geschützter Bereich &amp; ungeschützter Bereich &amp; Netzeinspeisung)"&amp;CHAR(10),"")&amp;IF(R159=1,"- PV Leistung ist grösser als die PV-Wechselrichterleistung"&amp;CHAR(10),"")&amp;IF(OR(R92=1,R100=1,R108=1,R116=1,R124=1,R132=1),"- PV-Strom ist grösser als der maximale PV-Wechselrichterstrom"&amp;CHAR(10),"")</f>
        <v xml:space="preserve">- PV-Strom ist grösser als der maximale PV-Wechselrichterstrom
</v>
      </c>
      <c r="S192" s="77"/>
    </row>
    <row r="193" spans="3:34" x14ac:dyDescent="0.25">
      <c r="C193" s="72"/>
      <c r="D193" s="74"/>
      <c r="E193" s="74"/>
      <c r="F193" s="74"/>
      <c r="G193" s="75"/>
      <c r="H193" s="73"/>
      <c r="J193" s="73"/>
      <c r="K193" s="76"/>
      <c r="L193" s="76"/>
      <c r="O193" s="77"/>
      <c r="Q193" s="18" t="s">
        <v>144</v>
      </c>
      <c r="R193" s="136" t="str">
        <f>IF(AND(Q210=1,R158=1),"- Total AC inverter power is limited to 125kW"&amp;CHAR(10)&amp;"(protected loads &amp; unprotected loads &amp; grid-injection)"&amp;CHAR(10),"")&amp;IF(R159=1,"- PV power is bigger than maximum inverter PV power"&amp;CHAR(10),"")&amp;IF(OR(R92=1,R100=1,R108=1,R116=1,R124=1,R132=1),"- PV current is bigger than maximum PV inverter current"&amp;CHAR(10),"")</f>
        <v xml:space="preserve">- PV current is bigger than maximum PV inverter current
</v>
      </c>
      <c r="S193" s="77"/>
    </row>
    <row r="194" spans="3:34" x14ac:dyDescent="0.25">
      <c r="C194" s="72"/>
      <c r="D194" s="74"/>
      <c r="E194" s="74"/>
      <c r="F194" s="74"/>
      <c r="G194" s="75"/>
      <c r="H194" s="73"/>
      <c r="J194" s="73"/>
      <c r="K194" s="76"/>
      <c r="L194" s="76"/>
      <c r="O194" s="77"/>
      <c r="Q194" s="18" t="s">
        <v>140</v>
      </c>
      <c r="R194" s="136" t="str">
        <f>IF(AND(Q211=1,R161=1),"- Gesamte AC Wechselrichterleistung ist auf 10kW limitiert (geschützter Bereich &amp; ungeschützter Bereich &amp; Netzeinspeisung)"&amp;CHAR(10),"")&amp;IF(R162=1,"- PV Leistung ist grösser als die PV-Wechselrichterleistung"&amp;CHAR(10),"")&amp;IF(OR(R92=1,R100=1),"- PV-Strom ist grösser als der maximale PV-Wechselrichterstrom"&amp;CHAR(10),"")</f>
        <v/>
      </c>
      <c r="S194" s="77"/>
    </row>
    <row r="195" spans="3:34" x14ac:dyDescent="0.25">
      <c r="C195" s="72"/>
      <c r="D195" s="74"/>
      <c r="E195" s="74"/>
      <c r="F195" s="74"/>
      <c r="G195" s="75"/>
      <c r="H195" s="73"/>
      <c r="J195" s="73"/>
      <c r="K195" s="76"/>
      <c r="L195" s="76"/>
      <c r="O195" s="77"/>
      <c r="Q195" s="18" t="s">
        <v>145</v>
      </c>
      <c r="R195" s="136" t="str">
        <f>IF(AND(Q211=1,R161=1),"- Total AC inverter power is limited to 10kW"&amp;CHAR(10)&amp;"(protected loads &amp; unprotected loads &amp; grid-injection)"&amp;CHAR(10),"")&amp;IF(R162=1,"- PV power is bigger than maximum inverter PV power"&amp;CHAR(10),"")&amp;IF(OR(R92=1,R100=1,R108=1,R116=1),"- PV current is bigger than maximum PV inverter current"&amp;CHAR(10),"")</f>
        <v/>
      </c>
      <c r="S195" s="77"/>
    </row>
    <row r="196" spans="3:34" x14ac:dyDescent="0.25">
      <c r="C196" s="72"/>
      <c r="D196" s="74"/>
      <c r="E196" s="74"/>
      <c r="F196" s="74"/>
      <c r="G196" s="75"/>
      <c r="H196" s="73"/>
      <c r="J196" s="73"/>
      <c r="K196" s="76"/>
      <c r="L196" s="76"/>
      <c r="O196" s="77"/>
      <c r="Q196" s="18" t="s">
        <v>141</v>
      </c>
      <c r="R196" s="136" t="str">
        <f>IF(AND(Q212=1,R164=1),"- Gesamte AC Wechselrichterleistung ist auf 20kW limitiert (geschützter Bereich &amp; ungeschützter Bereich &amp; Netzeinspeisung)"&amp;CHAR(10),"")&amp;IF(R165=1,"- PV Leistung ist grösser als die PV-Wechselrichterleistung"&amp;CHAR(10),"")&amp;IF(OR(R92=1,R100=1,R108=1,R116=1),"- PV-Strom ist grösser als der maximale PV-Wechselrichterstrom"&amp;CHAR(10),"")</f>
        <v/>
      </c>
      <c r="S196" s="77"/>
    </row>
    <row r="197" spans="3:34" x14ac:dyDescent="0.25">
      <c r="C197" s="72"/>
      <c r="D197" s="74"/>
      <c r="E197" s="74"/>
      <c r="F197" s="74"/>
      <c r="G197" s="75"/>
      <c r="H197" s="73"/>
      <c r="J197" s="73"/>
      <c r="K197" s="76"/>
      <c r="L197" s="76"/>
      <c r="O197" s="77"/>
      <c r="Q197" s="18" t="s">
        <v>146</v>
      </c>
      <c r="R197" s="136" t="str">
        <f>IF(AND(Q212=1,R164=1),"- Total AC inverter power is limited to 20kW"&amp;CHAR(10)&amp;"(protected loads &amp; unprotected loads &amp; grid-injection)"&amp;CHAR(10),"")&amp;IF(R165=1,"- PV power is bigger than maximum inverter PV power"&amp;CHAR(10),"")&amp;IF(OR(R92=1,R100=1,R108=1,R116=1),"- PV current is bigger than maximum PV inverter current"&amp;CHAR(10),"")</f>
        <v/>
      </c>
      <c r="S197" s="77"/>
    </row>
    <row r="198" spans="3:34" x14ac:dyDescent="0.25">
      <c r="C198" s="72"/>
      <c r="D198" s="74"/>
      <c r="E198" s="74"/>
      <c r="F198" s="74"/>
      <c r="G198" s="75"/>
      <c r="H198" s="73"/>
      <c r="J198" s="73"/>
      <c r="K198" s="76"/>
      <c r="L198" s="76"/>
      <c r="O198" s="77"/>
      <c r="Q198" s="18" t="s">
        <v>142</v>
      </c>
      <c r="R198" s="136" t="str">
        <f>IF(AND(Q213=1,R167=1),"- Gesamte AC Wechselrichterleistung ist auf 30kW limitiert (geschützter Bereich &amp; ungeschützter Bereich &amp; Netzeinspeisung)"&amp;CHAR(10),"")&amp;IF(R168=1,"- PV Leistung ist grösser als die PV-Wechselrichterleistung"&amp;CHAR(10),"")&amp;IF(OR(R92=1,R100=1,R108=1,R116=1),"- PV-Strom ist grösser als der maximale PV-Wechselrichterstrom"&amp;CHAR(10),"")</f>
        <v/>
      </c>
      <c r="S198" s="77"/>
    </row>
    <row r="199" spans="3:34" x14ac:dyDescent="0.25">
      <c r="C199" s="72"/>
      <c r="D199" s="74"/>
      <c r="E199" s="74"/>
      <c r="F199" s="74"/>
      <c r="G199" s="75"/>
      <c r="H199" s="73"/>
      <c r="J199" s="73"/>
      <c r="K199" s="76"/>
      <c r="L199" s="76"/>
      <c r="O199" s="77"/>
      <c r="Q199" s="18" t="s">
        <v>147</v>
      </c>
      <c r="R199" s="136" t="str">
        <f>IF(AND(Q213=1,R167=1),"- Total AC inverter power is limited to 30kW"&amp;CHAR(10)&amp;"(protected loads &amp; unprotected loads &amp; grid-injection)"&amp;CHAR(10),"")&amp;IF(R168=1,"- PV power is bigger than maximum inverter PV power"&amp;CHAR(10),"")&amp;IF(OR(R92=1,R100=1,R108=1,R116=1),"- PV current is bigger than maximum PV inverter current"&amp;CHAR(10),"")</f>
        <v/>
      </c>
      <c r="S199" s="77"/>
    </row>
    <row r="200" spans="3:34" x14ac:dyDescent="0.25">
      <c r="C200" s="72"/>
      <c r="D200" s="74"/>
      <c r="E200" s="74"/>
      <c r="F200" s="74"/>
      <c r="G200" s="75"/>
      <c r="H200" s="73"/>
      <c r="J200" s="73"/>
      <c r="K200" s="76"/>
      <c r="L200" s="76"/>
      <c r="O200" s="77"/>
      <c r="R200" s="136"/>
      <c r="S200" s="77"/>
    </row>
    <row r="201" spans="3:34" x14ac:dyDescent="0.25">
      <c r="C201" s="72"/>
      <c r="D201" s="74"/>
      <c r="E201" s="74"/>
      <c r="F201" s="74"/>
      <c r="G201" s="75"/>
      <c r="H201" s="73"/>
      <c r="J201" s="73"/>
      <c r="K201" s="76"/>
      <c r="L201" s="76"/>
      <c r="O201" s="77"/>
      <c r="R201" s="136"/>
      <c r="S201" s="77"/>
    </row>
    <row r="202" spans="3:34" x14ac:dyDescent="0.25">
      <c r="C202" s="72"/>
      <c r="D202" s="74"/>
      <c r="E202" s="74"/>
      <c r="F202" s="74"/>
      <c r="G202" s="75"/>
      <c r="H202" s="73"/>
      <c r="J202" s="73"/>
      <c r="K202" s="76"/>
      <c r="L202" s="76"/>
      <c r="O202" s="77"/>
      <c r="R202" s="136"/>
      <c r="S202" s="77"/>
    </row>
    <row r="203" spans="3:34" x14ac:dyDescent="0.25">
      <c r="C203" s="72"/>
      <c r="D203" s="74"/>
      <c r="E203" s="74"/>
      <c r="F203" s="74"/>
      <c r="G203" s="75"/>
      <c r="H203" s="73"/>
      <c r="J203" s="73"/>
      <c r="K203" s="76"/>
      <c r="L203" s="76"/>
      <c r="O203" s="77"/>
      <c r="P203" s="154" t="s">
        <v>119</v>
      </c>
      <c r="S203" s="77"/>
      <c r="Z203" s="101"/>
      <c r="AA203" s="101"/>
      <c r="AB203" s="101"/>
      <c r="AC203" s="86"/>
      <c r="AD203" s="102"/>
      <c r="AE203" s="102"/>
      <c r="AF203" s="90"/>
      <c r="AG203" s="90"/>
      <c r="AH203" s="90"/>
    </row>
    <row r="204" spans="3:34" x14ac:dyDescent="0.25">
      <c r="C204" s="72"/>
      <c r="D204" s="74"/>
      <c r="E204" s="74"/>
      <c r="F204" s="74"/>
      <c r="G204" s="75"/>
      <c r="H204" s="73"/>
      <c r="J204" s="73"/>
      <c r="K204" s="76"/>
      <c r="L204" s="76"/>
      <c r="O204" s="77"/>
      <c r="P204" s="154"/>
      <c r="S204" s="77"/>
      <c r="Z204" s="101"/>
      <c r="AA204" s="101"/>
      <c r="AB204" s="101"/>
      <c r="AC204" s="86"/>
      <c r="AD204" s="102"/>
      <c r="AE204" s="102"/>
      <c r="AF204" s="90"/>
      <c r="AG204" s="90"/>
      <c r="AH204" s="90"/>
    </row>
    <row r="205" spans="3:34" x14ac:dyDescent="0.25">
      <c r="C205" s="72"/>
      <c r="D205" s="74"/>
      <c r="E205" s="74"/>
      <c r="F205" s="74"/>
      <c r="G205" s="75"/>
      <c r="H205" s="73"/>
      <c r="J205" s="73"/>
      <c r="K205" s="76"/>
      <c r="L205" s="76"/>
      <c r="O205" s="77"/>
      <c r="P205" s="154"/>
      <c r="S205" s="77"/>
      <c r="Z205" s="101"/>
      <c r="AA205" s="101"/>
      <c r="AB205" s="101"/>
      <c r="AC205" s="86"/>
      <c r="AD205" s="102"/>
      <c r="AE205" s="102"/>
      <c r="AF205" s="90"/>
      <c r="AG205" s="90"/>
      <c r="AH205" s="90"/>
    </row>
    <row r="206" spans="3:34" x14ac:dyDescent="0.25">
      <c r="C206" s="72"/>
      <c r="D206" s="74"/>
      <c r="E206" s="74"/>
      <c r="F206" s="74"/>
      <c r="G206" s="75"/>
      <c r="H206" s="73"/>
      <c r="J206" s="73"/>
      <c r="K206" s="76"/>
      <c r="L206" s="76"/>
      <c r="O206" s="77"/>
      <c r="S206" s="77"/>
      <c r="Z206" s="101"/>
      <c r="AA206" s="101"/>
      <c r="AB206" s="101"/>
      <c r="AC206" s="86"/>
      <c r="AD206" s="102"/>
      <c r="AE206" s="102"/>
      <c r="AF206" s="90"/>
      <c r="AG206" s="90"/>
      <c r="AH206" s="90"/>
    </row>
    <row r="207" spans="3:34" x14ac:dyDescent="0.25">
      <c r="C207" s="72"/>
      <c r="D207" s="74"/>
      <c r="E207" s="74"/>
      <c r="F207" s="74"/>
      <c r="G207" s="75"/>
      <c r="H207" s="73"/>
      <c r="J207" s="73"/>
      <c r="K207" s="76"/>
      <c r="L207" s="76"/>
      <c r="O207" s="77"/>
      <c r="P207" s="45" t="s">
        <v>150</v>
      </c>
      <c r="Q207" s="18">
        <f>IF($C$13=Inverter!B9,1,0)</f>
        <v>0</v>
      </c>
      <c r="S207" s="77"/>
      <c r="Z207" s="101"/>
      <c r="AA207" s="101"/>
      <c r="AB207" s="101"/>
      <c r="AC207" s="86"/>
      <c r="AD207" s="102"/>
      <c r="AE207" s="102"/>
      <c r="AF207" s="90"/>
      <c r="AG207" s="90"/>
      <c r="AH207" s="90"/>
    </row>
    <row r="208" spans="3:34" x14ac:dyDescent="0.25">
      <c r="C208" s="72"/>
      <c r="D208" s="74"/>
      <c r="E208" s="74"/>
      <c r="F208" s="74"/>
      <c r="G208" s="75"/>
      <c r="H208" s="73"/>
      <c r="J208" s="73"/>
      <c r="K208" s="76"/>
      <c r="L208" s="76"/>
      <c r="O208" s="77"/>
      <c r="P208" s="45" t="s">
        <v>151</v>
      </c>
      <c r="Q208" s="18">
        <f>IF($C$13=Inverter!B10,1,0)</f>
        <v>0</v>
      </c>
      <c r="S208" s="77"/>
      <c r="Z208" s="101"/>
      <c r="AA208" s="101"/>
      <c r="AB208" s="101"/>
      <c r="AC208" s="86"/>
      <c r="AD208" s="102"/>
      <c r="AE208" s="102"/>
      <c r="AF208" s="90"/>
      <c r="AG208" s="90"/>
      <c r="AH208" s="90"/>
    </row>
    <row r="209" spans="3:34" x14ac:dyDescent="0.25">
      <c r="C209" s="72"/>
      <c r="D209" s="74"/>
      <c r="E209" s="74"/>
      <c r="F209" s="74"/>
      <c r="G209" s="75"/>
      <c r="H209" s="73"/>
      <c r="J209" s="73"/>
      <c r="K209" s="76"/>
      <c r="L209" s="76"/>
      <c r="O209" s="77"/>
      <c r="P209" s="45" t="s">
        <v>152</v>
      </c>
      <c r="Q209" s="18">
        <f>IF($C$13=Inverter!B11,1,0)</f>
        <v>0</v>
      </c>
      <c r="S209" s="77"/>
      <c r="Z209" s="101"/>
      <c r="AA209" s="101"/>
      <c r="AB209" s="101"/>
      <c r="AC209" s="86"/>
      <c r="AD209" s="102"/>
      <c r="AE209" s="102"/>
      <c r="AF209" s="90"/>
      <c r="AG209" s="90"/>
      <c r="AH209" s="90"/>
    </row>
    <row r="210" spans="3:34" x14ac:dyDescent="0.25">
      <c r="C210" s="72"/>
      <c r="D210" s="74"/>
      <c r="E210" s="74"/>
      <c r="F210" s="74"/>
      <c r="G210" s="75"/>
      <c r="H210" s="73"/>
      <c r="J210" s="73"/>
      <c r="K210" s="76"/>
      <c r="L210" s="76"/>
      <c r="O210" s="77"/>
      <c r="P210" s="45" t="s">
        <v>153</v>
      </c>
      <c r="Q210" s="18">
        <f>IF($C$13=Inverter!B12,1,0)</f>
        <v>0</v>
      </c>
      <c r="S210" s="77"/>
      <c r="Z210" s="101"/>
      <c r="AA210" s="101"/>
      <c r="AB210" s="101"/>
      <c r="AC210" s="86"/>
      <c r="AD210" s="102"/>
      <c r="AE210" s="102"/>
      <c r="AF210" s="90"/>
      <c r="AG210" s="90"/>
      <c r="AH210" s="90"/>
    </row>
    <row r="211" spans="3:34" x14ac:dyDescent="0.25">
      <c r="C211" s="72"/>
      <c r="D211" s="74"/>
      <c r="E211" s="74"/>
      <c r="F211" s="74"/>
      <c r="G211" s="75"/>
      <c r="H211" s="73"/>
      <c r="J211" s="73"/>
      <c r="K211" s="76"/>
      <c r="L211" s="76"/>
      <c r="O211" s="77"/>
      <c r="P211" s="45" t="s">
        <v>154</v>
      </c>
      <c r="Q211" s="18">
        <f>IF($C$13=Inverter!B13,1,0)</f>
        <v>0</v>
      </c>
      <c r="S211" s="77"/>
      <c r="Z211" s="101"/>
      <c r="AA211" s="101"/>
      <c r="AB211" s="101"/>
      <c r="AC211" s="86"/>
      <c r="AD211" s="102"/>
      <c r="AE211" s="102"/>
      <c r="AF211" s="90"/>
      <c r="AG211" s="90"/>
      <c r="AH211" s="90"/>
    </row>
    <row r="212" spans="3:34" x14ac:dyDescent="0.25">
      <c r="C212" s="72"/>
      <c r="D212" s="74"/>
      <c r="E212" s="74"/>
      <c r="F212" s="74"/>
      <c r="G212" s="75"/>
      <c r="H212" s="73"/>
      <c r="J212" s="73"/>
      <c r="K212" s="76"/>
      <c r="L212" s="76"/>
      <c r="O212" s="77"/>
      <c r="P212" s="45" t="s">
        <v>155</v>
      </c>
      <c r="Q212" s="18">
        <f>IF($C$13=Inverter!B14,1,0)</f>
        <v>0</v>
      </c>
      <c r="S212" s="77"/>
      <c r="Z212" s="101"/>
      <c r="AA212" s="101"/>
      <c r="AB212" s="101"/>
      <c r="AC212" s="86"/>
      <c r="AD212" s="102"/>
      <c r="AE212" s="102"/>
      <c r="AF212" s="90"/>
      <c r="AG212" s="90"/>
      <c r="AH212" s="90"/>
    </row>
    <row r="213" spans="3:34" x14ac:dyDescent="0.25">
      <c r="C213" s="72"/>
      <c r="D213" s="74"/>
      <c r="E213" s="74"/>
      <c r="F213" s="74"/>
      <c r="G213" s="75"/>
      <c r="H213" s="73"/>
      <c r="J213" s="73"/>
      <c r="K213" s="76"/>
      <c r="L213" s="76"/>
      <c r="O213" s="77"/>
      <c r="P213" s="45" t="s">
        <v>156</v>
      </c>
      <c r="Q213" s="18">
        <f>IF($C$13=Inverter!B15,1,0)</f>
        <v>0</v>
      </c>
      <c r="S213" s="77"/>
      <c r="Z213" s="101"/>
      <c r="AA213" s="101"/>
      <c r="AB213" s="101"/>
      <c r="AC213" s="86"/>
      <c r="AD213" s="102"/>
      <c r="AE213" s="102"/>
      <c r="AF213" s="90"/>
      <c r="AG213" s="90"/>
      <c r="AH213" s="90"/>
    </row>
    <row r="214" spans="3:34" x14ac:dyDescent="0.25">
      <c r="C214" s="72"/>
      <c r="D214" s="73"/>
      <c r="E214" s="73"/>
      <c r="F214" s="73"/>
      <c r="G214" s="75"/>
      <c r="H214" s="73"/>
      <c r="J214" s="73"/>
      <c r="K214" s="76"/>
      <c r="L214" s="76"/>
      <c r="O214" s="77"/>
      <c r="P214" s="136" t="s">
        <v>103</v>
      </c>
      <c r="Q214" s="18">
        <f>IF($C$13=Inverter!B6,1,0)</f>
        <v>0</v>
      </c>
      <c r="S214" s="77"/>
    </row>
    <row r="215" spans="3:34" x14ac:dyDescent="0.25">
      <c r="C215" s="72"/>
      <c r="D215" s="73"/>
      <c r="E215" s="73"/>
      <c r="F215" s="73"/>
      <c r="G215" s="75"/>
      <c r="H215" s="73"/>
      <c r="J215" s="73"/>
      <c r="K215" s="76"/>
      <c r="L215" s="76"/>
      <c r="O215" s="77"/>
      <c r="P215" s="136" t="s">
        <v>104</v>
      </c>
      <c r="Q215" s="18">
        <f>IF($C$13=Inverter!B7,1,0)</f>
        <v>0</v>
      </c>
      <c r="S215" s="77"/>
    </row>
    <row r="216" spans="3:34" x14ac:dyDescent="0.25">
      <c r="C216" s="72"/>
      <c r="D216" s="73"/>
      <c r="E216" s="73"/>
      <c r="F216" s="73"/>
      <c r="G216" s="75"/>
      <c r="H216" s="73"/>
      <c r="J216" s="73"/>
      <c r="K216" s="76"/>
      <c r="L216" s="76"/>
      <c r="P216" s="136" t="s">
        <v>105</v>
      </c>
      <c r="Q216" s="18">
        <f>IF($C$13=Inverter!B8,1,0)</f>
        <v>0</v>
      </c>
    </row>
    <row r="217" spans="3:34" x14ac:dyDescent="0.25">
      <c r="C217" s="72"/>
      <c r="D217" s="73"/>
      <c r="E217" s="73"/>
      <c r="F217" s="73"/>
      <c r="G217" s="75"/>
      <c r="H217" s="73"/>
      <c r="J217" s="73"/>
      <c r="K217" s="76"/>
      <c r="L217" s="76"/>
      <c r="P217" s="136" t="s">
        <v>106</v>
      </c>
      <c r="Q217" s="18">
        <f>IF($C$13=Inverter!B4,1,0)</f>
        <v>0</v>
      </c>
    </row>
    <row r="218" spans="3:34" x14ac:dyDescent="0.25">
      <c r="C218" s="72"/>
      <c r="D218" s="73"/>
      <c r="E218" s="73"/>
      <c r="F218" s="73"/>
      <c r="G218" s="75"/>
      <c r="H218" s="73"/>
      <c r="J218" s="73"/>
      <c r="K218" s="76"/>
      <c r="L218" s="76"/>
      <c r="P218" s="136" t="s">
        <v>107</v>
      </c>
      <c r="Q218" s="18">
        <f>IF($C$13=Inverter!B5,1,0)</f>
        <v>1</v>
      </c>
    </row>
    <row r="219" spans="3:34" x14ac:dyDescent="0.25">
      <c r="C219" s="72"/>
      <c r="D219" s="73"/>
      <c r="E219" s="73"/>
      <c r="F219" s="73"/>
      <c r="G219" s="75"/>
      <c r="H219" s="73"/>
      <c r="J219" s="73"/>
      <c r="K219" s="76"/>
      <c r="L219" s="76"/>
      <c r="P219" s="136"/>
    </row>
    <row r="220" spans="3:34" x14ac:dyDescent="0.25">
      <c r="C220" s="72"/>
      <c r="D220" s="73"/>
      <c r="E220" s="73"/>
      <c r="F220" s="73"/>
      <c r="G220" s="75"/>
      <c r="H220" s="73"/>
      <c r="J220" s="73"/>
      <c r="K220" s="76"/>
      <c r="L220" s="76"/>
      <c r="M220" s="77"/>
      <c r="N220" s="77"/>
      <c r="P220" s="136"/>
    </row>
    <row r="221" spans="3:34" x14ac:dyDescent="0.25">
      <c r="C221" s="72"/>
      <c r="D221" s="73"/>
      <c r="E221" s="73"/>
      <c r="F221" s="73"/>
      <c r="G221" s="75"/>
      <c r="H221" s="73"/>
      <c r="J221" s="73"/>
      <c r="K221" s="76"/>
      <c r="L221" s="76"/>
      <c r="M221" s="77"/>
      <c r="N221" s="77"/>
      <c r="P221" s="154" t="s">
        <v>116</v>
      </c>
    </row>
    <row r="222" spans="3:34" x14ac:dyDescent="0.25">
      <c r="C222" s="72"/>
      <c r="D222" s="73"/>
      <c r="E222" s="73"/>
      <c r="F222" s="73"/>
      <c r="G222" s="75"/>
      <c r="H222" s="73"/>
      <c r="J222" s="73"/>
      <c r="K222" s="76"/>
      <c r="L222" s="76"/>
      <c r="M222" s="77"/>
      <c r="N222" s="77"/>
      <c r="P222" s="136" t="s">
        <v>117</v>
      </c>
      <c r="Q222" s="18">
        <f>IF(OR(AND(OR(Q217=1,Q218=1),R137=1),AND(Q214=1,R140=1),AND(Q215=1,R143=1),AND(Q216=1,R146=1),AND(Q207=1,R149=1),AND(Q208=1,R152=1),AND(Q209=1,R155=1),AND(Q210=1,R158=1),AND(Q211=1,R161=1),AND(Q212=1,R164=1),AND(Q213=1,R167=1)),1,0)</f>
        <v>1</v>
      </c>
    </row>
    <row r="223" spans="3:34" x14ac:dyDescent="0.25">
      <c r="C223" s="72"/>
      <c r="D223" s="73"/>
      <c r="E223" s="73"/>
      <c r="F223" s="73"/>
      <c r="G223" s="75"/>
      <c r="H223" s="73"/>
      <c r="J223" s="73"/>
      <c r="K223" s="76"/>
      <c r="L223" s="76"/>
      <c r="M223" s="77"/>
      <c r="N223" s="77"/>
    </row>
    <row r="224" spans="3:34" x14ac:dyDescent="0.25">
      <c r="C224" s="72"/>
      <c r="D224" s="73"/>
      <c r="E224" s="73"/>
      <c r="F224" s="73"/>
      <c r="G224" s="75"/>
      <c r="H224" s="73"/>
      <c r="J224" s="73"/>
      <c r="K224" s="76"/>
      <c r="L224" s="76"/>
      <c r="P224" s="136"/>
    </row>
    <row r="225" spans="3:18" x14ac:dyDescent="0.25">
      <c r="C225" s="72"/>
      <c r="D225" s="73"/>
      <c r="E225" s="73"/>
      <c r="F225" s="73"/>
      <c r="G225" s="75"/>
      <c r="H225" s="73"/>
      <c r="J225" s="73"/>
      <c r="K225" s="76"/>
      <c r="L225" s="76"/>
      <c r="P225" s="153"/>
    </row>
    <row r="226" spans="3:18" x14ac:dyDescent="0.25">
      <c r="C226" s="72"/>
      <c r="D226" s="73"/>
      <c r="E226" s="73"/>
      <c r="F226" s="73"/>
      <c r="G226" s="75"/>
      <c r="H226" s="73"/>
      <c r="J226" s="73"/>
      <c r="K226" s="76"/>
      <c r="L226" s="76"/>
      <c r="P226" s="136"/>
    </row>
    <row r="227" spans="3:18" x14ac:dyDescent="0.25">
      <c r="C227" s="72"/>
      <c r="D227" s="73"/>
      <c r="E227" s="73"/>
      <c r="F227" s="73"/>
      <c r="G227" s="75"/>
      <c r="H227" s="73"/>
      <c r="J227" s="73"/>
      <c r="K227" s="76"/>
      <c r="L227" s="76"/>
      <c r="P227" s="136"/>
    </row>
    <row r="228" spans="3:18" x14ac:dyDescent="0.25">
      <c r="C228" s="72"/>
      <c r="D228" s="73"/>
      <c r="E228" s="73"/>
      <c r="F228" s="73"/>
      <c r="G228" s="75"/>
      <c r="H228" s="73"/>
      <c r="J228" s="73"/>
      <c r="K228" s="76"/>
      <c r="L228" s="76"/>
      <c r="P228" s="136"/>
    </row>
    <row r="229" spans="3:18" x14ac:dyDescent="0.25">
      <c r="C229" s="72"/>
      <c r="D229" s="73"/>
      <c r="E229" s="73"/>
      <c r="F229" s="73"/>
      <c r="G229" s="75"/>
      <c r="H229" s="73"/>
      <c r="J229" s="73"/>
      <c r="K229" s="76"/>
      <c r="L229" s="76"/>
      <c r="P229" s="136"/>
    </row>
    <row r="230" spans="3:18" x14ac:dyDescent="0.25">
      <c r="C230" s="72"/>
      <c r="D230" s="73"/>
      <c r="E230" s="73"/>
      <c r="F230" s="73"/>
      <c r="G230" s="75"/>
      <c r="H230" s="73"/>
      <c r="J230" s="73"/>
      <c r="K230" s="76"/>
      <c r="L230" s="76"/>
      <c r="P230" s="136"/>
    </row>
    <row r="231" spans="3:18" x14ac:dyDescent="0.25">
      <c r="C231" s="72"/>
      <c r="D231" s="73"/>
      <c r="E231" s="73"/>
      <c r="F231" s="73"/>
      <c r="G231" s="75"/>
      <c r="H231" s="73"/>
      <c r="J231" s="73"/>
      <c r="K231" s="76"/>
      <c r="L231" s="76"/>
    </row>
    <row r="232" spans="3:18" x14ac:dyDescent="0.25">
      <c r="C232" s="72"/>
      <c r="D232" s="73"/>
      <c r="E232" s="73"/>
      <c r="F232" s="73"/>
      <c r="G232" s="75"/>
      <c r="H232" s="73"/>
      <c r="J232" s="73"/>
      <c r="K232" s="76"/>
      <c r="L232" s="76"/>
    </row>
    <row r="233" spans="3:18" x14ac:dyDescent="0.25">
      <c r="C233" s="72"/>
      <c r="D233" s="73"/>
      <c r="E233" s="73"/>
      <c r="F233" s="73"/>
      <c r="G233" s="75"/>
      <c r="H233" s="73"/>
      <c r="J233" s="73"/>
      <c r="K233" s="76"/>
      <c r="L233" s="76"/>
    </row>
    <row r="234" spans="3:18" x14ac:dyDescent="0.25">
      <c r="C234" s="72"/>
      <c r="D234" s="73"/>
      <c r="E234" s="73"/>
      <c r="F234" s="73"/>
      <c r="G234" s="75"/>
      <c r="H234" s="73"/>
      <c r="J234" s="73"/>
      <c r="K234" s="76"/>
      <c r="L234" s="76"/>
    </row>
    <row r="235" spans="3:18" x14ac:dyDescent="0.25">
      <c r="C235" s="72"/>
      <c r="D235" s="73"/>
      <c r="E235" s="73"/>
      <c r="F235" s="73"/>
      <c r="G235" s="75"/>
      <c r="H235" s="73"/>
      <c r="J235" s="73"/>
      <c r="K235" s="76"/>
      <c r="L235" s="76"/>
    </row>
    <row r="236" spans="3:18" x14ac:dyDescent="0.25">
      <c r="C236" s="72"/>
      <c r="D236" s="73"/>
      <c r="E236" s="73"/>
      <c r="F236" s="73"/>
      <c r="G236" s="75"/>
      <c r="H236" s="73"/>
      <c r="J236" s="73"/>
      <c r="K236" s="76"/>
      <c r="L236" s="76"/>
    </row>
    <row r="237" spans="3:18" x14ac:dyDescent="0.25">
      <c r="C237" s="72"/>
      <c r="D237" s="73"/>
      <c r="E237" s="73"/>
      <c r="F237" s="73"/>
      <c r="G237" s="75"/>
      <c r="H237" s="73"/>
      <c r="J237" s="73"/>
      <c r="K237" s="76"/>
      <c r="L237" s="76"/>
    </row>
    <row r="238" spans="3:18" x14ac:dyDescent="0.25">
      <c r="C238" s="72"/>
      <c r="D238" s="73"/>
      <c r="E238" s="73"/>
      <c r="F238" s="73"/>
      <c r="G238" s="75"/>
      <c r="H238" s="73"/>
      <c r="J238" s="73"/>
      <c r="K238" s="76"/>
      <c r="L238" s="76"/>
    </row>
    <row r="239" spans="3:18" x14ac:dyDescent="0.25">
      <c r="C239" s="72"/>
      <c r="D239" s="73"/>
      <c r="E239" s="73"/>
      <c r="F239" s="73"/>
      <c r="G239" s="75"/>
      <c r="H239" s="73"/>
      <c r="J239" s="73"/>
      <c r="K239" s="76"/>
      <c r="L239" s="76"/>
      <c r="Q239" s="77"/>
      <c r="R239" s="77"/>
    </row>
    <row r="240" spans="3:18" x14ac:dyDescent="0.25">
      <c r="C240" s="72"/>
      <c r="D240" s="73"/>
      <c r="E240" s="73"/>
      <c r="F240" s="73"/>
      <c r="G240" s="75"/>
      <c r="H240" s="73"/>
      <c r="J240" s="73"/>
      <c r="K240" s="76"/>
      <c r="L240" s="76"/>
      <c r="Q240" s="77"/>
      <c r="R240" s="77"/>
    </row>
    <row r="241" spans="3:18" x14ac:dyDescent="0.25">
      <c r="C241" s="72"/>
      <c r="D241" s="73"/>
      <c r="E241" s="73"/>
      <c r="F241" s="73"/>
      <c r="G241" s="75"/>
      <c r="H241" s="73"/>
      <c r="J241" s="73"/>
      <c r="K241" s="76"/>
      <c r="L241" s="76"/>
      <c r="Q241" s="77"/>
      <c r="R241" s="77"/>
    </row>
    <row r="242" spans="3:18" x14ac:dyDescent="0.25">
      <c r="C242" s="72"/>
      <c r="D242" s="73"/>
      <c r="E242" s="73"/>
      <c r="F242" s="73"/>
      <c r="G242" s="75"/>
      <c r="H242" s="73"/>
      <c r="J242" s="73"/>
      <c r="K242" s="76"/>
      <c r="L242" s="76"/>
      <c r="Q242" s="77"/>
      <c r="R242" s="77"/>
    </row>
    <row r="243" spans="3:18" x14ac:dyDescent="0.25">
      <c r="C243" s="72"/>
      <c r="D243" s="73"/>
      <c r="E243" s="73"/>
      <c r="F243" s="73"/>
      <c r="G243" s="75"/>
      <c r="H243" s="73"/>
      <c r="J243" s="73"/>
      <c r="K243" s="76"/>
      <c r="L243" s="76"/>
    </row>
    <row r="244" spans="3:18" x14ac:dyDescent="0.25">
      <c r="C244" s="72"/>
      <c r="D244" s="73"/>
      <c r="E244" s="73"/>
      <c r="F244" s="73"/>
      <c r="G244" s="75"/>
      <c r="H244" s="73"/>
      <c r="J244" s="73"/>
      <c r="K244" s="76"/>
      <c r="L244" s="76"/>
    </row>
    <row r="245" spans="3:18" x14ac:dyDescent="0.25">
      <c r="C245" s="72"/>
      <c r="D245" s="73"/>
      <c r="E245" s="73"/>
      <c r="F245" s="73"/>
      <c r="G245" s="75"/>
      <c r="H245" s="73"/>
      <c r="J245" s="73"/>
      <c r="K245" s="76"/>
      <c r="L245" s="76"/>
    </row>
    <row r="246" spans="3:18" x14ac:dyDescent="0.25">
      <c r="C246" s="72"/>
      <c r="D246" s="73"/>
      <c r="E246" s="73"/>
      <c r="F246" s="73"/>
      <c r="G246" s="75"/>
      <c r="H246" s="73"/>
      <c r="J246" s="73"/>
      <c r="K246" s="76"/>
      <c r="L246" s="76"/>
    </row>
    <row r="247" spans="3:18" x14ac:dyDescent="0.25">
      <c r="C247" s="72"/>
      <c r="D247" s="73"/>
      <c r="E247" s="73"/>
      <c r="F247" s="73"/>
      <c r="G247" s="75"/>
      <c r="H247" s="73"/>
      <c r="J247" s="73"/>
      <c r="K247" s="76"/>
      <c r="L247" s="76"/>
    </row>
    <row r="248" spans="3:18" x14ac:dyDescent="0.25">
      <c r="C248" s="72"/>
      <c r="D248" s="73"/>
      <c r="E248" s="73"/>
      <c r="F248" s="73"/>
      <c r="G248" s="75"/>
      <c r="H248" s="73"/>
      <c r="J248" s="73"/>
      <c r="K248" s="76"/>
      <c r="L248" s="76"/>
    </row>
    <row r="249" spans="3:18" x14ac:dyDescent="0.25">
      <c r="C249" s="72"/>
      <c r="D249" s="73"/>
      <c r="E249" s="73"/>
      <c r="F249" s="73"/>
      <c r="G249" s="75"/>
      <c r="H249" s="73"/>
      <c r="J249" s="73"/>
      <c r="K249" s="76"/>
      <c r="L249" s="76"/>
    </row>
    <row r="250" spans="3:18" x14ac:dyDescent="0.25">
      <c r="C250" s="72"/>
      <c r="D250" s="73"/>
      <c r="E250" s="73"/>
      <c r="F250" s="73"/>
      <c r="G250" s="75"/>
      <c r="H250" s="73"/>
      <c r="J250" s="73"/>
      <c r="K250" s="76"/>
      <c r="L250" s="76"/>
    </row>
    <row r="251" spans="3:18" x14ac:dyDescent="0.25">
      <c r="C251" s="72"/>
      <c r="D251" s="73"/>
      <c r="E251" s="73"/>
      <c r="F251" s="73"/>
      <c r="G251" s="75"/>
      <c r="H251" s="73"/>
      <c r="J251" s="73"/>
      <c r="K251" s="76"/>
      <c r="L251" s="76"/>
    </row>
    <row r="252" spans="3:18" x14ac:dyDescent="0.25">
      <c r="C252" s="72"/>
      <c r="D252" s="73"/>
      <c r="E252" s="73"/>
      <c r="F252" s="73"/>
      <c r="G252" s="75"/>
      <c r="H252" s="73"/>
      <c r="J252" s="73"/>
      <c r="K252" s="76"/>
      <c r="L252" s="76"/>
    </row>
    <row r="253" spans="3:18" x14ac:dyDescent="0.25">
      <c r="C253" s="72"/>
      <c r="D253" s="73"/>
      <c r="E253" s="73"/>
      <c r="F253" s="73"/>
      <c r="G253" s="75"/>
      <c r="H253" s="73"/>
      <c r="J253" s="73"/>
      <c r="K253" s="76"/>
      <c r="L253" s="76"/>
    </row>
    <row r="254" spans="3:18" x14ac:dyDescent="0.25">
      <c r="C254" s="72"/>
      <c r="D254" s="73"/>
      <c r="E254" s="73"/>
      <c r="F254" s="73"/>
      <c r="G254" s="75"/>
      <c r="H254" s="73"/>
      <c r="J254" s="73"/>
      <c r="K254" s="76"/>
      <c r="L254" s="76"/>
    </row>
    <row r="255" spans="3:18" x14ac:dyDescent="0.25">
      <c r="C255" s="72"/>
      <c r="D255" s="73"/>
      <c r="E255" s="73"/>
      <c r="F255" s="73"/>
      <c r="G255" s="75"/>
      <c r="H255" s="73"/>
      <c r="J255" s="73"/>
      <c r="K255" s="76"/>
      <c r="L255" s="76"/>
    </row>
    <row r="256" spans="3:18" x14ac:dyDescent="0.25">
      <c r="C256" s="72"/>
      <c r="D256" s="73"/>
      <c r="E256" s="73"/>
      <c r="F256" s="73"/>
      <c r="G256" s="75"/>
      <c r="H256" s="73"/>
      <c r="J256" s="73"/>
      <c r="K256" s="76"/>
      <c r="L256" s="76"/>
    </row>
    <row r="257" spans="3:12" x14ac:dyDescent="0.25">
      <c r="C257" s="72"/>
      <c r="D257" s="73"/>
      <c r="E257" s="73"/>
      <c r="F257" s="73"/>
      <c r="G257" s="75"/>
      <c r="H257" s="73"/>
      <c r="J257" s="73"/>
      <c r="K257" s="76"/>
      <c r="L257" s="76"/>
    </row>
    <row r="258" spans="3:12" x14ac:dyDescent="0.25">
      <c r="C258" s="72"/>
      <c r="D258" s="73"/>
      <c r="E258" s="73"/>
      <c r="F258" s="73"/>
      <c r="G258" s="75"/>
      <c r="H258" s="73"/>
      <c r="J258" s="73"/>
      <c r="K258" s="76"/>
      <c r="L258" s="76"/>
    </row>
    <row r="259" spans="3:12" x14ac:dyDescent="0.25">
      <c r="C259" s="72"/>
      <c r="D259" s="73"/>
      <c r="E259" s="73"/>
      <c r="F259" s="73"/>
      <c r="G259" s="75"/>
      <c r="H259" s="73"/>
      <c r="J259" s="73"/>
      <c r="K259" s="76"/>
      <c r="L259" s="76"/>
    </row>
    <row r="260" spans="3:12" x14ac:dyDescent="0.25">
      <c r="C260" s="72"/>
      <c r="D260" s="73"/>
      <c r="E260" s="73"/>
      <c r="F260" s="73"/>
      <c r="G260" s="75"/>
      <c r="H260" s="73"/>
      <c r="J260" s="73"/>
      <c r="K260" s="76"/>
      <c r="L260" s="76"/>
    </row>
    <row r="261" spans="3:12" x14ac:dyDescent="0.25">
      <c r="C261" s="72"/>
      <c r="D261" s="73"/>
      <c r="E261" s="73"/>
      <c r="F261" s="73"/>
      <c r="G261" s="75"/>
      <c r="H261" s="73"/>
      <c r="J261" s="73"/>
      <c r="K261" s="76"/>
      <c r="L261" s="76"/>
    </row>
    <row r="262" spans="3:12" x14ac:dyDescent="0.25">
      <c r="C262" s="72"/>
      <c r="D262" s="73"/>
      <c r="E262" s="73"/>
      <c r="F262" s="73"/>
      <c r="G262" s="75"/>
      <c r="H262" s="73"/>
      <c r="J262" s="73"/>
      <c r="K262" s="76"/>
      <c r="L262" s="76"/>
    </row>
    <row r="263" spans="3:12" x14ac:dyDescent="0.25">
      <c r="C263" s="72"/>
      <c r="D263" s="73"/>
      <c r="E263" s="73"/>
      <c r="F263" s="73"/>
      <c r="G263" s="75"/>
      <c r="H263" s="73"/>
      <c r="J263" s="73"/>
      <c r="K263" s="76"/>
      <c r="L263" s="76"/>
    </row>
    <row r="264" spans="3:12" x14ac:dyDescent="0.25">
      <c r="C264" s="72"/>
      <c r="D264" s="73"/>
      <c r="E264" s="73"/>
      <c r="F264" s="73"/>
      <c r="G264" s="75"/>
      <c r="H264" s="73"/>
      <c r="J264" s="73"/>
      <c r="K264" s="76"/>
      <c r="L264" s="76"/>
    </row>
    <row r="265" spans="3:12" x14ac:dyDescent="0.25">
      <c r="C265" s="72"/>
      <c r="D265" s="73"/>
      <c r="E265" s="73"/>
      <c r="F265" s="73"/>
      <c r="G265" s="75"/>
      <c r="H265" s="73"/>
      <c r="J265" s="73"/>
      <c r="K265" s="76"/>
      <c r="L265" s="76"/>
    </row>
    <row r="266" spans="3:12" x14ac:dyDescent="0.25">
      <c r="C266" s="72"/>
      <c r="D266" s="73"/>
      <c r="E266" s="73"/>
      <c r="F266" s="73"/>
      <c r="G266" s="75"/>
      <c r="H266" s="80"/>
      <c r="J266" s="73"/>
      <c r="K266" s="76"/>
      <c r="L266" s="76"/>
    </row>
    <row r="267" spans="3:12" ht="15" customHeight="1" x14ac:dyDescent="0.25">
      <c r="C267" s="72"/>
      <c r="D267" s="73"/>
      <c r="E267" s="73"/>
      <c r="F267" s="73"/>
      <c r="G267" s="75"/>
      <c r="H267" s="80"/>
      <c r="J267" s="73"/>
      <c r="K267" s="76"/>
      <c r="L267" s="76"/>
    </row>
    <row r="268" spans="3:12" ht="15" customHeight="1" x14ac:dyDescent="0.25">
      <c r="C268" s="72"/>
      <c r="D268" s="78"/>
      <c r="E268" s="79"/>
      <c r="F268" s="79"/>
      <c r="G268" s="79"/>
      <c r="H268" s="80"/>
      <c r="J268" s="73"/>
      <c r="K268" s="76"/>
      <c r="L268" s="76"/>
    </row>
    <row r="269" spans="3:12" ht="15" customHeight="1" x14ac:dyDescent="0.25">
      <c r="C269" s="72"/>
      <c r="D269" s="78"/>
      <c r="E269" s="79"/>
      <c r="F269" s="79"/>
      <c r="G269" s="79"/>
      <c r="H269" s="80"/>
      <c r="J269" s="73"/>
      <c r="K269" s="76"/>
      <c r="L269" s="76"/>
    </row>
    <row r="270" spans="3:12" ht="15" customHeight="1" x14ac:dyDescent="0.25">
      <c r="C270" s="72"/>
      <c r="D270" s="78"/>
      <c r="E270" s="79"/>
      <c r="F270" s="79"/>
      <c r="G270" s="79"/>
      <c r="H270" s="80"/>
      <c r="J270" s="73"/>
      <c r="K270" s="76"/>
      <c r="L270" s="76"/>
    </row>
    <row r="271" spans="3:12" ht="15" customHeight="1" x14ac:dyDescent="0.25">
      <c r="C271" s="72"/>
      <c r="D271" s="78"/>
      <c r="E271" s="79"/>
      <c r="F271" s="79"/>
      <c r="G271" s="79"/>
      <c r="H271" s="80"/>
      <c r="J271" s="73"/>
      <c r="K271" s="76"/>
      <c r="L271" s="76"/>
    </row>
    <row r="272" spans="3:12" ht="15" customHeight="1" x14ac:dyDescent="0.25">
      <c r="C272" s="72"/>
      <c r="D272" s="78"/>
      <c r="E272" s="79"/>
      <c r="F272" s="79"/>
      <c r="G272" s="79"/>
      <c r="H272" s="80"/>
      <c r="J272" s="73"/>
      <c r="K272" s="76"/>
      <c r="L272" s="76"/>
    </row>
    <row r="273" spans="3:12" ht="15" customHeight="1" x14ac:dyDescent="0.25">
      <c r="C273" s="72"/>
      <c r="D273" s="78"/>
      <c r="E273" s="79"/>
      <c r="F273" s="79"/>
      <c r="G273" s="79"/>
      <c r="H273" s="80"/>
      <c r="J273" s="73"/>
      <c r="K273" s="76"/>
      <c r="L273" s="76"/>
    </row>
    <row r="274" spans="3:12" ht="15" customHeight="1" x14ac:dyDescent="0.25">
      <c r="C274" s="72"/>
      <c r="D274" s="78"/>
      <c r="E274" s="79"/>
      <c r="F274" s="79"/>
      <c r="G274" s="79"/>
      <c r="H274" s="80"/>
      <c r="J274" s="80"/>
      <c r="K274" s="80"/>
      <c r="L274" s="80"/>
    </row>
    <row r="275" spans="3:12" ht="15" customHeight="1" x14ac:dyDescent="0.25">
      <c r="C275" s="72"/>
      <c r="D275" s="78"/>
      <c r="E275" s="79"/>
      <c r="F275" s="79"/>
      <c r="G275" s="79"/>
      <c r="H275" s="80"/>
      <c r="J275" s="80"/>
      <c r="K275" s="80"/>
      <c r="L275" s="80"/>
    </row>
    <row r="276" spans="3:12" ht="15" customHeight="1" x14ac:dyDescent="0.25">
      <c r="C276" s="72"/>
      <c r="D276" s="78"/>
      <c r="E276" s="79"/>
      <c r="F276" s="79"/>
      <c r="G276" s="79"/>
      <c r="H276" s="80"/>
      <c r="J276" s="80"/>
      <c r="K276" s="80"/>
      <c r="L276" s="80"/>
    </row>
    <row r="277" spans="3:12" ht="15" customHeight="1" x14ac:dyDescent="0.25">
      <c r="C277" s="72"/>
      <c r="D277" s="78"/>
      <c r="E277" s="79"/>
      <c r="F277" s="79"/>
      <c r="G277" s="79"/>
      <c r="H277" s="80"/>
      <c r="J277" s="80"/>
      <c r="K277" s="80"/>
      <c r="L277" s="80"/>
    </row>
    <row r="278" spans="3:12" ht="15" customHeight="1" x14ac:dyDescent="0.25">
      <c r="C278" s="72"/>
      <c r="D278" s="78"/>
      <c r="E278" s="79"/>
      <c r="F278" s="79"/>
      <c r="G278" s="79"/>
      <c r="H278" s="80"/>
      <c r="J278" s="80"/>
      <c r="K278" s="80"/>
      <c r="L278" s="80"/>
    </row>
    <row r="279" spans="3:12" ht="15" customHeight="1" x14ac:dyDescent="0.25">
      <c r="C279" s="72"/>
      <c r="D279" s="78"/>
      <c r="E279" s="79"/>
      <c r="F279" s="79"/>
      <c r="G279" s="79"/>
      <c r="H279" s="80"/>
      <c r="J279" s="80"/>
      <c r="K279" s="80"/>
      <c r="L279" s="80"/>
    </row>
    <row r="280" spans="3:12" ht="15" customHeight="1" x14ac:dyDescent="0.25">
      <c r="C280" s="72"/>
      <c r="D280" s="78"/>
      <c r="E280" s="79"/>
      <c r="F280" s="79"/>
      <c r="G280" s="79"/>
      <c r="H280" s="80"/>
      <c r="J280" s="80"/>
      <c r="K280" s="80"/>
      <c r="L280" s="80"/>
    </row>
    <row r="281" spans="3:12" ht="15" customHeight="1" x14ac:dyDescent="0.25">
      <c r="C281" s="72"/>
      <c r="D281" s="78"/>
      <c r="E281" s="79"/>
      <c r="F281" s="79"/>
      <c r="G281" s="79"/>
      <c r="H281" s="80"/>
      <c r="J281" s="80"/>
      <c r="K281" s="80"/>
      <c r="L281" s="80"/>
    </row>
    <row r="282" spans="3:12" ht="15" customHeight="1" x14ac:dyDescent="0.25">
      <c r="C282" s="72"/>
      <c r="D282" s="78"/>
      <c r="E282" s="79"/>
      <c r="F282" s="79"/>
      <c r="G282" s="79"/>
      <c r="H282" s="80"/>
      <c r="J282" s="80"/>
      <c r="K282" s="80"/>
      <c r="L282" s="80"/>
    </row>
    <row r="283" spans="3:12" ht="15" customHeight="1" x14ac:dyDescent="0.25">
      <c r="C283" s="72"/>
      <c r="D283" s="78"/>
      <c r="E283" s="79"/>
      <c r="F283" s="79"/>
      <c r="G283" s="79"/>
      <c r="H283" s="80"/>
      <c r="J283" s="80"/>
      <c r="K283" s="80"/>
      <c r="L283" s="80"/>
    </row>
    <row r="284" spans="3:12" ht="15" customHeight="1" x14ac:dyDescent="0.25">
      <c r="C284" s="72"/>
      <c r="D284" s="78"/>
      <c r="E284" s="79"/>
      <c r="F284" s="79"/>
      <c r="G284" s="79"/>
      <c r="H284" s="80"/>
      <c r="J284" s="80"/>
      <c r="K284" s="80"/>
      <c r="L284" s="80"/>
    </row>
    <row r="285" spans="3:12" ht="15" customHeight="1" x14ac:dyDescent="0.25">
      <c r="C285" s="72"/>
      <c r="D285" s="78"/>
      <c r="E285" s="79"/>
      <c r="F285" s="79"/>
      <c r="G285" s="79"/>
      <c r="H285" s="80"/>
      <c r="J285" s="80"/>
      <c r="K285" s="80"/>
      <c r="L285" s="80"/>
    </row>
    <row r="286" spans="3:12" ht="15" customHeight="1" x14ac:dyDescent="0.25">
      <c r="C286" s="72"/>
      <c r="D286" s="78"/>
      <c r="E286" s="79"/>
      <c r="F286" s="79"/>
      <c r="G286" s="79"/>
      <c r="H286" s="80"/>
      <c r="J286" s="80"/>
      <c r="K286" s="80"/>
      <c r="L286" s="80"/>
    </row>
    <row r="287" spans="3:12" ht="15" customHeight="1" x14ac:dyDescent="0.25">
      <c r="C287" s="72"/>
      <c r="D287" s="78"/>
      <c r="E287" s="79"/>
      <c r="F287" s="79"/>
      <c r="G287" s="79"/>
      <c r="H287" s="80"/>
      <c r="J287" s="80"/>
      <c r="K287" s="80"/>
      <c r="L287" s="80"/>
    </row>
    <row r="288" spans="3:12" ht="15" customHeight="1" x14ac:dyDescent="0.25">
      <c r="C288" s="72"/>
      <c r="D288" s="78"/>
      <c r="E288" s="79"/>
      <c r="F288" s="79"/>
      <c r="G288" s="79"/>
      <c r="H288" s="80"/>
      <c r="J288" s="80"/>
      <c r="K288" s="80"/>
      <c r="L288" s="80"/>
    </row>
    <row r="289" spans="3:12" ht="15" customHeight="1" x14ac:dyDescent="0.25">
      <c r="C289" s="72"/>
      <c r="D289" s="78"/>
      <c r="E289" s="79"/>
      <c r="F289" s="79"/>
      <c r="G289" s="79"/>
      <c r="H289" s="80"/>
      <c r="J289" s="80"/>
      <c r="K289" s="80"/>
      <c r="L289" s="80"/>
    </row>
    <row r="290" spans="3:12" ht="15" customHeight="1" x14ac:dyDescent="0.25">
      <c r="C290" s="72"/>
      <c r="D290" s="78"/>
      <c r="E290" s="79"/>
      <c r="F290" s="79"/>
      <c r="G290" s="79"/>
      <c r="H290" s="80"/>
      <c r="J290" s="80"/>
      <c r="K290" s="80"/>
      <c r="L290" s="80"/>
    </row>
    <row r="291" spans="3:12" ht="15" customHeight="1" x14ac:dyDescent="0.25">
      <c r="C291" s="72"/>
      <c r="D291" s="78"/>
      <c r="E291" s="79"/>
      <c r="F291" s="79"/>
      <c r="G291" s="79"/>
      <c r="H291" s="80"/>
      <c r="J291" s="80"/>
      <c r="K291" s="80"/>
      <c r="L291" s="80"/>
    </row>
    <row r="292" spans="3:12" ht="15" customHeight="1" x14ac:dyDescent="0.25">
      <c r="C292" s="72"/>
      <c r="D292" s="78"/>
      <c r="E292" s="79"/>
      <c r="F292" s="79"/>
      <c r="G292" s="79"/>
      <c r="H292" s="80"/>
      <c r="J292" s="80"/>
      <c r="K292" s="80"/>
      <c r="L292" s="80"/>
    </row>
    <row r="293" spans="3:12" ht="15" customHeight="1" x14ac:dyDescent="0.25">
      <c r="C293" s="72"/>
      <c r="D293" s="78"/>
      <c r="E293" s="79"/>
      <c r="F293" s="79"/>
      <c r="G293" s="79"/>
      <c r="H293" s="80"/>
      <c r="J293" s="80"/>
      <c r="K293" s="80"/>
      <c r="L293" s="80"/>
    </row>
    <row r="294" spans="3:12" ht="15" customHeight="1" x14ac:dyDescent="0.25">
      <c r="C294" s="72"/>
      <c r="D294" s="78"/>
      <c r="E294" s="79"/>
      <c r="F294" s="79"/>
      <c r="G294" s="79"/>
      <c r="H294" s="80"/>
      <c r="J294" s="80"/>
      <c r="K294" s="80"/>
      <c r="L294" s="80"/>
    </row>
    <row r="295" spans="3:12" ht="15" customHeight="1" x14ac:dyDescent="0.25">
      <c r="C295" s="72"/>
      <c r="D295" s="78"/>
      <c r="E295" s="79"/>
      <c r="F295" s="79"/>
      <c r="G295" s="79"/>
      <c r="H295" s="80"/>
      <c r="J295" s="80"/>
      <c r="K295" s="80"/>
      <c r="L295" s="80"/>
    </row>
    <row r="296" spans="3:12" ht="15" customHeight="1" x14ac:dyDescent="0.25">
      <c r="C296" s="72"/>
      <c r="D296" s="78"/>
      <c r="E296" s="79"/>
      <c r="F296" s="79"/>
      <c r="G296" s="79"/>
      <c r="H296" s="80"/>
      <c r="J296" s="80"/>
      <c r="K296" s="80"/>
      <c r="L296" s="80"/>
    </row>
    <row r="297" spans="3:12" ht="15" customHeight="1" x14ac:dyDescent="0.25">
      <c r="C297" s="72"/>
      <c r="D297" s="78"/>
      <c r="E297" s="79"/>
      <c r="F297" s="79"/>
      <c r="G297" s="79"/>
      <c r="H297" s="80"/>
      <c r="J297" s="80"/>
      <c r="K297" s="80"/>
      <c r="L297" s="80"/>
    </row>
    <row r="298" spans="3:12" ht="15" customHeight="1" x14ac:dyDescent="0.25">
      <c r="C298" s="72"/>
      <c r="D298" s="78"/>
      <c r="E298" s="79"/>
      <c r="F298" s="79"/>
      <c r="G298" s="79"/>
      <c r="H298" s="80"/>
      <c r="J298" s="80"/>
      <c r="K298" s="80"/>
      <c r="L298" s="80"/>
    </row>
    <row r="299" spans="3:12" ht="15" customHeight="1" x14ac:dyDescent="0.25">
      <c r="C299" s="72"/>
      <c r="D299" s="78"/>
      <c r="E299" s="79"/>
      <c r="F299" s="79"/>
      <c r="G299" s="79"/>
      <c r="H299" s="80"/>
      <c r="J299" s="80"/>
      <c r="K299" s="80"/>
      <c r="L299" s="80"/>
    </row>
    <row r="300" spans="3:12" ht="15" customHeight="1" x14ac:dyDescent="0.25">
      <c r="C300" s="72"/>
      <c r="D300" s="78"/>
      <c r="E300" s="79"/>
      <c r="F300" s="79"/>
      <c r="G300" s="79"/>
      <c r="H300" s="80"/>
      <c r="J300" s="80"/>
      <c r="K300" s="80"/>
      <c r="L300" s="80"/>
    </row>
    <row r="301" spans="3:12" ht="15" customHeight="1" x14ac:dyDescent="0.25">
      <c r="C301" s="72"/>
      <c r="D301" s="78"/>
      <c r="E301" s="79"/>
      <c r="F301" s="79"/>
      <c r="G301" s="79"/>
      <c r="J301" s="80"/>
      <c r="K301" s="80"/>
      <c r="L301" s="80"/>
    </row>
    <row r="302" spans="3:12" ht="15" customHeight="1" x14ac:dyDescent="0.25">
      <c r="C302" s="72"/>
      <c r="D302" s="78"/>
      <c r="E302" s="79"/>
      <c r="F302" s="79"/>
      <c r="G302" s="79"/>
      <c r="J302" s="80"/>
      <c r="K302" s="80"/>
      <c r="L302" s="80"/>
    </row>
    <row r="303" spans="3:12" ht="15" customHeight="1" x14ac:dyDescent="0.25">
      <c r="C303" s="72"/>
      <c r="D303" s="78"/>
      <c r="E303" s="79"/>
      <c r="F303" s="79"/>
      <c r="G303" s="79"/>
      <c r="J303" s="80"/>
      <c r="K303" s="80"/>
      <c r="L303" s="80"/>
    </row>
    <row r="304" spans="3:12" ht="15" customHeight="1" x14ac:dyDescent="0.25">
      <c r="C304" s="72"/>
      <c r="D304" s="78"/>
      <c r="E304" s="79"/>
      <c r="F304" s="79"/>
      <c r="G304" s="79"/>
      <c r="J304" s="80"/>
      <c r="K304" s="80"/>
      <c r="L304" s="80"/>
    </row>
    <row r="305" spans="3:12" ht="15" customHeight="1" x14ac:dyDescent="0.25">
      <c r="C305" s="72"/>
      <c r="D305" s="78"/>
      <c r="E305" s="79"/>
      <c r="F305" s="79"/>
      <c r="G305" s="79"/>
      <c r="J305" s="80"/>
      <c r="K305" s="80"/>
      <c r="L305" s="80"/>
    </row>
    <row r="306" spans="3:12" ht="15" customHeight="1" x14ac:dyDescent="0.25">
      <c r="C306" s="72"/>
      <c r="D306" s="78"/>
      <c r="E306" s="79"/>
      <c r="F306" s="79"/>
      <c r="G306" s="79"/>
      <c r="J306" s="80"/>
      <c r="K306" s="80"/>
      <c r="L306" s="80"/>
    </row>
    <row r="307" spans="3:12" ht="15" customHeight="1" x14ac:dyDescent="0.25">
      <c r="C307" s="72"/>
      <c r="D307" s="78"/>
      <c r="E307" s="79"/>
      <c r="F307" s="79"/>
      <c r="G307" s="79"/>
      <c r="J307" s="80"/>
      <c r="K307" s="80"/>
      <c r="L307" s="80"/>
    </row>
    <row r="308" spans="3:12" ht="15" customHeight="1" x14ac:dyDescent="0.25">
      <c r="C308" s="72"/>
      <c r="D308" s="78"/>
      <c r="E308" s="79"/>
      <c r="F308" s="79"/>
      <c r="G308" s="79"/>
      <c r="J308" s="80"/>
      <c r="K308" s="80"/>
      <c r="L308" s="80"/>
    </row>
    <row r="309" spans="3:12" ht="15" customHeight="1" x14ac:dyDescent="0.25">
      <c r="C309" s="72"/>
      <c r="D309" s="78"/>
      <c r="E309" s="79"/>
      <c r="F309" s="79"/>
      <c r="G309" s="79"/>
    </row>
    <row r="310" spans="3:12" ht="15" customHeight="1" x14ac:dyDescent="0.25">
      <c r="C310" s="72"/>
      <c r="D310" s="78"/>
      <c r="E310" s="79"/>
      <c r="F310" s="79"/>
      <c r="G310" s="79"/>
    </row>
    <row r="311" spans="3:12" ht="15" customHeight="1" x14ac:dyDescent="0.25">
      <c r="C311" s="72"/>
      <c r="D311" s="78"/>
      <c r="E311" s="79"/>
      <c r="F311" s="79"/>
      <c r="G311" s="79"/>
    </row>
    <row r="312" spans="3:12" ht="15" customHeight="1" x14ac:dyDescent="0.25">
      <c r="C312" s="72"/>
      <c r="D312" s="78"/>
      <c r="E312" s="79"/>
      <c r="F312" s="79"/>
      <c r="G312" s="79"/>
    </row>
    <row r="313" spans="3:12" ht="15" customHeight="1" x14ac:dyDescent="0.25">
      <c r="C313" s="72"/>
      <c r="D313" s="78"/>
      <c r="E313" s="79"/>
      <c r="F313" s="79"/>
      <c r="G313" s="79"/>
    </row>
    <row r="314" spans="3:12" ht="15" customHeight="1" x14ac:dyDescent="0.25">
      <c r="C314" s="72"/>
      <c r="D314" s="78"/>
      <c r="E314" s="79"/>
      <c r="F314" s="79"/>
      <c r="G314" s="79"/>
    </row>
    <row r="315" spans="3:12" ht="15" customHeight="1" x14ac:dyDescent="0.25">
      <c r="C315" s="72"/>
      <c r="D315" s="78"/>
      <c r="E315" s="79"/>
      <c r="F315" s="79"/>
      <c r="G315" s="79"/>
    </row>
    <row r="316" spans="3:12" ht="15" customHeight="1" x14ac:dyDescent="0.25">
      <c r="C316" s="72"/>
      <c r="D316" s="78"/>
      <c r="E316" s="79"/>
      <c r="F316" s="79"/>
      <c r="G316" s="79"/>
    </row>
    <row r="317" spans="3:12" ht="15" customHeight="1" x14ac:dyDescent="0.25">
      <c r="C317" s="72"/>
      <c r="D317" s="78"/>
      <c r="E317" s="79"/>
      <c r="F317" s="79"/>
      <c r="G317" s="79"/>
    </row>
    <row r="318" spans="3:12" ht="15" customHeight="1" x14ac:dyDescent="0.25">
      <c r="C318" s="72"/>
      <c r="D318" s="78"/>
      <c r="E318" s="79"/>
      <c r="F318" s="79"/>
      <c r="G318" s="79"/>
    </row>
    <row r="319" spans="3:12" ht="15" customHeight="1" x14ac:dyDescent="0.25">
      <c r="C319" s="72"/>
      <c r="D319" s="78"/>
      <c r="E319" s="79"/>
      <c r="F319" s="79"/>
      <c r="G319" s="79"/>
    </row>
    <row r="320" spans="3:12" ht="15" customHeight="1" x14ac:dyDescent="0.25">
      <c r="C320" s="72"/>
      <c r="D320" s="78"/>
      <c r="E320" s="79"/>
      <c r="F320" s="79"/>
      <c r="G320" s="79"/>
    </row>
    <row r="321" spans="3:8" ht="15" customHeight="1" x14ac:dyDescent="0.25">
      <c r="C321" s="72"/>
      <c r="D321" s="78"/>
      <c r="E321" s="79"/>
      <c r="F321" s="79"/>
      <c r="G321" s="79"/>
    </row>
    <row r="322" spans="3:8" ht="15" customHeight="1" x14ac:dyDescent="0.25">
      <c r="C322" s="72"/>
      <c r="D322" s="78"/>
      <c r="E322" s="79"/>
      <c r="F322" s="79"/>
      <c r="G322" s="79"/>
    </row>
    <row r="323" spans="3:8" ht="15" customHeight="1" x14ac:dyDescent="0.25">
      <c r="C323" s="72"/>
      <c r="D323" s="78"/>
      <c r="E323" s="79"/>
      <c r="F323" s="79"/>
      <c r="G323" s="79"/>
    </row>
    <row r="324" spans="3:8" ht="15" customHeight="1" x14ac:dyDescent="0.25">
      <c r="C324" s="72"/>
      <c r="D324" s="78"/>
      <c r="E324" s="79"/>
      <c r="F324" s="79"/>
      <c r="G324" s="79"/>
    </row>
    <row r="325" spans="3:8" ht="15" customHeight="1" x14ac:dyDescent="0.25">
      <c r="C325" s="72"/>
      <c r="D325" s="78"/>
      <c r="E325" s="79"/>
      <c r="F325" s="79"/>
      <c r="G325" s="79"/>
    </row>
    <row r="326" spans="3:8" ht="15" customHeight="1" x14ac:dyDescent="0.25">
      <c r="C326" s="72"/>
      <c r="D326" s="78"/>
      <c r="E326" s="79"/>
      <c r="F326" s="79"/>
      <c r="G326" s="79"/>
    </row>
    <row r="327" spans="3:8" ht="15" customHeight="1" x14ac:dyDescent="0.25">
      <c r="C327" s="72"/>
      <c r="D327" s="78"/>
      <c r="E327" s="79"/>
      <c r="F327" s="79"/>
      <c r="G327" s="79"/>
    </row>
    <row r="328" spans="3:8" ht="15" customHeight="1" x14ac:dyDescent="0.25">
      <c r="C328" s="72"/>
      <c r="D328" s="78"/>
      <c r="E328" s="79"/>
      <c r="F328" s="79"/>
      <c r="G328" s="79"/>
    </row>
    <row r="329" spans="3:8" ht="15" customHeight="1" x14ac:dyDescent="0.25">
      <c r="C329" s="72"/>
      <c r="D329" s="78"/>
      <c r="E329" s="79"/>
      <c r="F329" s="79"/>
      <c r="G329" s="79"/>
    </row>
    <row r="330" spans="3:8" ht="15" customHeight="1" x14ac:dyDescent="0.25">
      <c r="C330" s="72"/>
      <c r="D330" s="78"/>
      <c r="E330" s="79"/>
      <c r="F330" s="79"/>
      <c r="G330" s="79"/>
    </row>
    <row r="331" spans="3:8" ht="15" customHeight="1" x14ac:dyDescent="0.25">
      <c r="C331" s="72"/>
      <c r="D331" s="78"/>
      <c r="E331" s="79"/>
      <c r="F331" s="79"/>
      <c r="G331" s="79"/>
      <c r="H331" s="80"/>
    </row>
    <row r="332" spans="3:8" ht="15" customHeight="1" x14ac:dyDescent="0.25">
      <c r="C332" s="72"/>
      <c r="D332" s="78"/>
      <c r="E332" s="79"/>
      <c r="F332" s="79"/>
      <c r="G332" s="79"/>
      <c r="H332" s="80"/>
    </row>
    <row r="333" spans="3:8" ht="15" customHeight="1" x14ac:dyDescent="0.25">
      <c r="C333" s="72"/>
      <c r="D333" s="78"/>
      <c r="E333" s="79"/>
      <c r="F333" s="79"/>
      <c r="G333" s="79"/>
      <c r="H333" s="80"/>
    </row>
    <row r="334" spans="3:8" ht="15" customHeight="1" x14ac:dyDescent="0.25">
      <c r="C334" s="72"/>
      <c r="D334" s="78"/>
      <c r="E334" s="79"/>
      <c r="F334" s="79"/>
      <c r="G334" s="79"/>
      <c r="H334" s="80"/>
    </row>
    <row r="335" spans="3:8" ht="15" customHeight="1" x14ac:dyDescent="0.25">
      <c r="C335" s="72"/>
      <c r="D335" s="78"/>
      <c r="E335" s="79"/>
      <c r="F335" s="79"/>
      <c r="G335" s="79"/>
    </row>
    <row r="336" spans="3:8" ht="15" customHeight="1" x14ac:dyDescent="0.25">
      <c r="C336" s="72"/>
      <c r="D336" s="78"/>
      <c r="E336" s="79"/>
      <c r="F336" s="79"/>
      <c r="G336" s="79"/>
    </row>
  </sheetData>
  <sheetProtection algorithmName="SHA-512" hashValue="9e9Jx+D6OtlkXoIqRto5c6LMG0Wg1gAjao9dZzAlQ2X0THPxTgG5zyQv1qzH1whj9EsMgvIBHB+RO/hSjZsDRQ==" saltValue="9u/Pz4Wpj6WjTTsmjmhuHA==" spinCount="100000" sheet="1" objects="1" scenarios="1"/>
  <dataConsolidate link="1"/>
  <mergeCells count="35">
    <mergeCell ref="J41:J42"/>
    <mergeCell ref="K41:K42"/>
    <mergeCell ref="L41:L42"/>
    <mergeCell ref="M41:M42"/>
    <mergeCell ref="J45:J46"/>
    <mergeCell ref="K45:K46"/>
    <mergeCell ref="L45:L46"/>
    <mergeCell ref="M45:M46"/>
    <mergeCell ref="D60:G60"/>
    <mergeCell ref="D61:G61"/>
    <mergeCell ref="D62:G62"/>
    <mergeCell ref="D63:G63"/>
    <mergeCell ref="J63:N63"/>
    <mergeCell ref="K49:N62"/>
    <mergeCell ref="J37:J38"/>
    <mergeCell ref="K37:K38"/>
    <mergeCell ref="L37:L38"/>
    <mergeCell ref="M37:M38"/>
    <mergeCell ref="K29:K30"/>
    <mergeCell ref="L29:L30"/>
    <mergeCell ref="M29:M30"/>
    <mergeCell ref="J29:J30"/>
    <mergeCell ref="J33:J34"/>
    <mergeCell ref="K33:K34"/>
    <mergeCell ref="L33:L34"/>
    <mergeCell ref="M33:M34"/>
    <mergeCell ref="F1:J3"/>
    <mergeCell ref="C20:G20"/>
    <mergeCell ref="J20:N20"/>
    <mergeCell ref="J25:J26"/>
    <mergeCell ref="K25:K26"/>
    <mergeCell ref="L25:L26"/>
    <mergeCell ref="M25:M26"/>
    <mergeCell ref="C5:N5"/>
    <mergeCell ref="F4:J4"/>
  </mergeCells>
  <phoneticPr fontId="24" type="noConversion"/>
  <conditionalFormatting sqref="C24:G50">
    <cfRule type="expression" dxfId="62" priority="92" stopIfTrue="1">
      <formula>AND($C24&lt;=$R$85,$C24&gt;=$R$84)</formula>
    </cfRule>
  </conditionalFormatting>
  <conditionalFormatting sqref="C54:G57">
    <cfRule type="expression" dxfId="61" priority="94" stopIfTrue="1">
      <formula>$C54&gt;$R$78</formula>
    </cfRule>
    <cfRule type="expression" dxfId="60" priority="93" stopIfTrue="1">
      <formula>AND($C54&lt;=$R$78)</formula>
    </cfRule>
  </conditionalFormatting>
  <conditionalFormatting sqref="K25">
    <cfRule type="expression" dxfId="59" priority="44" stopIfTrue="1">
      <formula>K25="okay"</formula>
    </cfRule>
  </conditionalFormatting>
  <conditionalFormatting sqref="K29">
    <cfRule type="expression" dxfId="58" priority="52" stopIfTrue="1">
      <formula>K29="okay"</formula>
    </cfRule>
  </conditionalFormatting>
  <conditionalFormatting sqref="K33">
    <cfRule type="expression" dxfId="57" priority="11">
      <formula>$R$107=0</formula>
    </cfRule>
    <cfRule type="expression" dxfId="56" priority="12">
      <formula>$R$107=1</formula>
    </cfRule>
  </conditionalFormatting>
  <conditionalFormatting sqref="K33:K34">
    <cfRule type="expression" dxfId="55" priority="10" stopIfTrue="1">
      <formula>$E$13&lt;3</formula>
    </cfRule>
  </conditionalFormatting>
  <conditionalFormatting sqref="K37">
    <cfRule type="expression" dxfId="54" priority="8">
      <formula>$R$115=0</formula>
    </cfRule>
    <cfRule type="expression" dxfId="53" priority="9">
      <formula>$R$115=1</formula>
    </cfRule>
  </conditionalFormatting>
  <conditionalFormatting sqref="K37:K38">
    <cfRule type="expression" dxfId="52" priority="7" stopIfTrue="1">
      <formula>$E$13&lt;4</formula>
    </cfRule>
  </conditionalFormatting>
  <conditionalFormatting sqref="K41">
    <cfRule type="expression" dxfId="51" priority="5">
      <formula>$R$123=0</formula>
    </cfRule>
    <cfRule type="expression" dxfId="50" priority="6">
      <formula>$R$123=1</formula>
    </cfRule>
  </conditionalFormatting>
  <conditionalFormatting sqref="K41:K42">
    <cfRule type="expression" dxfId="49" priority="4" stopIfTrue="1">
      <formula>$E$13&lt;5</formula>
    </cfRule>
  </conditionalFormatting>
  <conditionalFormatting sqref="K45">
    <cfRule type="expression" dxfId="48" priority="2">
      <formula>$R$131=0</formula>
    </cfRule>
    <cfRule type="expression" dxfId="47" priority="3">
      <formula>$R$131=1</formula>
    </cfRule>
  </conditionalFormatting>
  <conditionalFormatting sqref="K45:K46">
    <cfRule type="expression" dxfId="46" priority="1" stopIfTrue="1">
      <formula>$E$13&lt;6</formula>
    </cfRule>
  </conditionalFormatting>
  <conditionalFormatting sqref="K25:M25">
    <cfRule type="expression" dxfId="45" priority="45" stopIfTrue="1">
      <formula>AND(K25&lt;&gt;"okay", K25&lt;&gt;"")</formula>
    </cfRule>
  </conditionalFormatting>
  <conditionalFormatting sqref="K29:M29">
    <cfRule type="expression" dxfId="44" priority="53" stopIfTrue="1">
      <formula>AND(K29&lt;&gt;"okay", K29&lt;&gt;"")</formula>
    </cfRule>
  </conditionalFormatting>
  <conditionalFormatting sqref="K32:N32">
    <cfRule type="expression" dxfId="43" priority="23">
      <formula>$E$13&lt;3</formula>
    </cfRule>
  </conditionalFormatting>
  <conditionalFormatting sqref="K36:N36">
    <cfRule type="expression" dxfId="42" priority="26">
      <formula>$E$13&lt;4</formula>
    </cfRule>
  </conditionalFormatting>
  <conditionalFormatting sqref="K40:N40">
    <cfRule type="expression" dxfId="41" priority="25">
      <formula>$E$13&lt;5</formula>
    </cfRule>
  </conditionalFormatting>
  <conditionalFormatting sqref="K44:N44">
    <cfRule type="expression" dxfId="40" priority="24">
      <formula>$E$13&lt;6</formula>
    </cfRule>
  </conditionalFormatting>
  <conditionalFormatting sqref="L25">
    <cfRule type="expression" dxfId="39" priority="47" stopIfTrue="1">
      <formula>$R$92=1</formula>
    </cfRule>
    <cfRule type="expression" dxfId="38" priority="48" stopIfTrue="1">
      <formula>L25="okay"</formula>
    </cfRule>
  </conditionalFormatting>
  <conditionalFormatting sqref="L29">
    <cfRule type="expression" dxfId="37" priority="56" stopIfTrue="1">
      <formula>L29="okay"</formula>
    </cfRule>
    <cfRule type="expression" dxfId="36" priority="55" stopIfTrue="1">
      <formula>$R$100=1</formula>
    </cfRule>
  </conditionalFormatting>
  <conditionalFormatting sqref="L33">
    <cfRule type="expression" dxfId="35" priority="64" stopIfTrue="1">
      <formula>L33="okay"</formula>
    </cfRule>
    <cfRule type="expression" dxfId="34" priority="63" stopIfTrue="1">
      <formula>$R$108=1</formula>
    </cfRule>
  </conditionalFormatting>
  <conditionalFormatting sqref="L37">
    <cfRule type="expression" dxfId="33" priority="72" stopIfTrue="1">
      <formula>L37="okay"</formula>
    </cfRule>
    <cfRule type="expression" dxfId="32" priority="71" stopIfTrue="1">
      <formula>$R$116=1</formula>
    </cfRule>
  </conditionalFormatting>
  <conditionalFormatting sqref="L41">
    <cfRule type="expression" dxfId="31" priority="17" stopIfTrue="1">
      <formula>L41="okay"</formula>
    </cfRule>
    <cfRule type="expression" dxfId="30" priority="16" stopIfTrue="1">
      <formula>$R$124=1</formula>
    </cfRule>
  </conditionalFormatting>
  <conditionalFormatting sqref="L45">
    <cfRule type="expression" dxfId="29" priority="88" stopIfTrue="1">
      <formula>L45="okay"</formula>
    </cfRule>
    <cfRule type="expression" dxfId="28" priority="87" stopIfTrue="1">
      <formula>$R$132=1</formula>
    </cfRule>
  </conditionalFormatting>
  <conditionalFormatting sqref="L33:M33">
    <cfRule type="expression" dxfId="27" priority="61" stopIfTrue="1">
      <formula>AND(L33&lt;&gt;"okay", L33&lt;&gt;"")</formula>
    </cfRule>
  </conditionalFormatting>
  <conditionalFormatting sqref="L37:M37">
    <cfRule type="expression" dxfId="26" priority="69" stopIfTrue="1">
      <formula>AND(L37&lt;&gt;"okay", L37&lt;&gt;"")</formula>
    </cfRule>
  </conditionalFormatting>
  <conditionalFormatting sqref="L41:M41">
    <cfRule type="expression" dxfId="25" priority="15" stopIfTrue="1">
      <formula>AND(L41&lt;&gt;"okay", L41&lt;&gt;"")</formula>
    </cfRule>
  </conditionalFormatting>
  <conditionalFormatting sqref="L45:M45">
    <cfRule type="expression" dxfId="24" priority="85" stopIfTrue="1">
      <formula>AND(L45&lt;&gt;"okay", L45&lt;&gt;"")</formula>
    </cfRule>
  </conditionalFormatting>
  <conditionalFormatting sqref="L33:N34">
    <cfRule type="expression" dxfId="23" priority="43" stopIfTrue="1">
      <formula>$E$13&lt;3</formula>
    </cfRule>
  </conditionalFormatting>
  <conditionalFormatting sqref="L37:N38">
    <cfRule type="expression" dxfId="22" priority="42" stopIfTrue="1">
      <formula>$E$13&lt;4</formula>
    </cfRule>
  </conditionalFormatting>
  <conditionalFormatting sqref="L41:N42">
    <cfRule type="expression" dxfId="21" priority="13" stopIfTrue="1">
      <formula>$E$13&lt;5</formula>
    </cfRule>
  </conditionalFormatting>
  <conditionalFormatting sqref="L45:N46">
    <cfRule type="expression" dxfId="20" priority="40" stopIfTrue="1">
      <formula>$E$13&lt;6</formula>
    </cfRule>
  </conditionalFormatting>
  <conditionalFormatting sqref="M25">
    <cfRule type="expression" dxfId="19" priority="51" stopIfTrue="1">
      <formula>M25="okay"</formula>
    </cfRule>
    <cfRule type="expression" dxfId="18" priority="50" stopIfTrue="1">
      <formula>$Q$222=1</formula>
    </cfRule>
  </conditionalFormatting>
  <conditionalFormatting sqref="M29">
    <cfRule type="expression" dxfId="17" priority="58" stopIfTrue="1">
      <formula>$Q$222=1</formula>
    </cfRule>
    <cfRule type="expression" dxfId="16" priority="59" stopIfTrue="1">
      <formula>M29="okay"</formula>
    </cfRule>
  </conditionalFormatting>
  <conditionalFormatting sqref="M33">
    <cfRule type="expression" dxfId="15" priority="66" stopIfTrue="1">
      <formula>$Q$222=1</formula>
    </cfRule>
    <cfRule type="expression" dxfId="14" priority="67" stopIfTrue="1">
      <formula>M33="okay"</formula>
    </cfRule>
  </conditionalFormatting>
  <conditionalFormatting sqref="M37">
    <cfRule type="expression" dxfId="13" priority="74" stopIfTrue="1">
      <formula>$Q$222=1</formula>
    </cfRule>
    <cfRule type="expression" dxfId="12" priority="75" stopIfTrue="1">
      <formula>M37="okay"</formula>
    </cfRule>
  </conditionalFormatting>
  <conditionalFormatting sqref="M41">
    <cfRule type="expression" dxfId="11" priority="82" stopIfTrue="1">
      <formula>$Q$222=1</formula>
    </cfRule>
    <cfRule type="expression" dxfId="10" priority="83" stopIfTrue="1">
      <formula>M41="okay"</formula>
    </cfRule>
  </conditionalFormatting>
  <conditionalFormatting sqref="M45">
    <cfRule type="expression" dxfId="9" priority="90" stopIfTrue="1">
      <formula>$Q$222=1</formula>
    </cfRule>
    <cfRule type="expression" dxfId="8" priority="91" stopIfTrue="1">
      <formula>M45="okay"</formula>
    </cfRule>
  </conditionalFormatting>
  <dataValidations count="4">
    <dataValidation type="whole" allowBlank="1" showInputMessage="1" showErrorMessage="1" errorTitle="Falscher Wert" error="Nicht zulässige Modulanzahl" sqref="O166" xr:uid="{1BA7DE4E-A71B-4E87-8CEF-94DF964E6085}">
      <formula1>0</formula1>
      <formula2>25</formula2>
    </dataValidation>
    <dataValidation type="whole" operator="greaterThan" allowBlank="1" showInputMessage="1" showErrorMessage="1" errorTitle="Wrong temperature" error="Temperature to low" sqref="C17" xr:uid="{C1279648-FA3B-4DF5-B925-265CBD5DD5CC}">
      <formula1>C18</formula1>
    </dataValidation>
    <dataValidation type="whole" operator="lessThan" allowBlank="1" showInputMessage="1" showErrorMessage="1" errorTitle="Wrong temperature" error="Temperature to high" sqref="C18" xr:uid="{31BD5327-9D3D-4E30-8521-102F25E5B60F}">
      <formula1>C17</formula1>
    </dataValidation>
    <dataValidation type="list" allowBlank="1" showInputMessage="1" showErrorMessage="1" sqref="L1" xr:uid="{FD69F81F-18F6-4F97-8304-B562060B0148}">
      <formula1>"DE,EN,"</formula1>
    </dataValidation>
  </dataValidations>
  <pageMargins left="0.7" right="0.7" top="0.75" bottom="0.75" header="0.3" footer="0.3"/>
  <pageSetup paperSize="8" scale="86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D5885FD-E992-48F9-BFFE-5A77CFC33FA3}">
          <x14:formula1>
            <xm:f>OFFSET(Inverter!$B$4, 0, 0, COUNTA(Inverter!$B$4:$B$100), 1)</xm:f>
          </x14:formula1>
          <xm:sqref>C13</xm:sqref>
        </x14:dataValidation>
        <x14:dataValidation type="list" allowBlank="1" showInputMessage="1" showErrorMessage="1" xr:uid="{162C545A-F6F8-4E2E-A34E-8174AA9588AA}">
          <x14:formula1>
            <xm:f>'PV modules'!$B4:$B87</xm:f>
          </x14:formula1>
          <xm:sqref>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HF360"/>
  <sheetViews>
    <sheetView zoomScale="85" zoomScaleNormal="85" workbookViewId="0">
      <selection activeCell="B44" sqref="B44"/>
    </sheetView>
  </sheetViews>
  <sheetFormatPr baseColWidth="10" defaultColWidth="11.42578125" defaultRowHeight="15" x14ac:dyDescent="0.25"/>
  <cols>
    <col min="1" max="1" width="3.140625" style="6" customWidth="1"/>
    <col min="2" max="2" width="60.7109375" style="3" customWidth="1"/>
    <col min="3" max="4" width="11.7109375" style="2" customWidth="1"/>
    <col min="5" max="8" width="11.7109375" style="61" customWidth="1"/>
    <col min="9" max="9" width="13.7109375" style="2" customWidth="1"/>
    <col min="10" max="11" width="16.7109375" style="2" customWidth="1"/>
    <col min="12" max="12" width="16.7109375" style="7" customWidth="1"/>
    <col min="13" max="13" width="16.7109375" style="2" customWidth="1"/>
    <col min="14" max="15" width="16.7109375" style="61" customWidth="1"/>
    <col min="16" max="18" width="16.7109375" style="2" customWidth="1"/>
    <col min="19" max="19" width="17.42578125" style="6" customWidth="1"/>
    <col min="20" max="20" width="26.42578125" style="6" bestFit="1" customWidth="1"/>
    <col min="21" max="21" width="35.42578125" style="6" bestFit="1" customWidth="1"/>
    <col min="22" max="24" width="11.42578125" style="6"/>
    <col min="25" max="44" width="11.42578125" style="3"/>
    <col min="45" max="45" width="18.42578125" style="8" customWidth="1"/>
    <col min="46" max="46" width="26.42578125" style="8" customWidth="1"/>
    <col min="47" max="47" width="20.42578125" style="8" customWidth="1"/>
    <col min="48" max="16384" width="11.42578125" style="3"/>
  </cols>
  <sheetData>
    <row r="1" spans="1:214" ht="15.75" thickBot="1" x14ac:dyDescent="0.3"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V1" s="8"/>
      <c r="AW1" s="8"/>
    </row>
    <row r="2" spans="1:214" s="12" customFormat="1" ht="26.25" thickBot="1" x14ac:dyDescent="0.25">
      <c r="A2" s="9"/>
      <c r="B2" s="13" t="s">
        <v>70</v>
      </c>
      <c r="C2" s="27" t="s">
        <v>41</v>
      </c>
      <c r="D2" s="28" t="s">
        <v>43</v>
      </c>
      <c r="E2" s="62" t="s">
        <v>51</v>
      </c>
      <c r="F2" s="64" t="s">
        <v>50</v>
      </c>
      <c r="G2" s="64" t="s">
        <v>20</v>
      </c>
      <c r="H2" s="64" t="s">
        <v>18</v>
      </c>
      <c r="I2" s="15" t="str">
        <f>IF(Tabelle1!$A$1=1,"EFFIZIENZ",IF(Tabelle1!$A$1=2,"EFFICIENCY"))</f>
        <v>EFFIZIENZ</v>
      </c>
      <c r="J2" s="14" t="str">
        <f>IF(Tabelle1!$A$1=1,"TEMP KOEFFIZIENT Uoc",IF(Tabelle1!$A$1=2,"TEMP COEFFICIENT Uoc"))</f>
        <v>TEMP KOEFFIZIENT Uoc</v>
      </c>
      <c r="K2" s="14" t="str">
        <f>IF(Tabelle1!$A$1=1,"TEMP KOEFFIZIENT Uoc",IF(Tabelle1!$A$1=2,"TEMP COEFFICIENT Uoc"))</f>
        <v>TEMP KOEFFIZIENT Uoc</v>
      </c>
      <c r="L2" s="14" t="str">
        <f>IF(Tabelle1!$A$1=1,"TEMP KOEFFIZIENT Isc",IF(Tabelle1!$A$1=2,"TEMP COEFFICIENT Isc"))</f>
        <v>TEMP KOEFFIZIENT Isc</v>
      </c>
      <c r="M2" s="14" t="str">
        <f>IF(Tabelle1!$A$1=1,"TEMP KOEFFIZIENT Isc",IF(Tabelle1!$A$1=2,"TEMP COEFFICIENT Isc"))</f>
        <v>TEMP KOEFFIZIENT Isc</v>
      </c>
      <c r="N2" s="65" t="str">
        <f>IF(Tabelle1!$A$1=1,"TEMP KOEFFIZIENT Pmpp",IF(Tabelle1!$A$1=2,"TEMP COEFFICIENT Pmpp"))</f>
        <v>TEMP KOEFFIZIENT Pmpp</v>
      </c>
      <c r="O2" s="65" t="str">
        <f>IF(Tabelle1!$A$1=1,"TEMP KOEFFIZIENT Pmpp",IF(Tabelle1!$A$1=2,"TEMP COEFFICIENT Pmpp"))</f>
        <v>TEMP KOEFFIZIENT Pmpp</v>
      </c>
      <c r="P2" s="15" t="str">
        <f>IF(Tabelle1!$A$1=1,"HÖHE",IF(Tabelle1!$A$1=2,"HEIGHT"))</f>
        <v>HÖHE</v>
      </c>
      <c r="Q2" s="15" t="str">
        <f>IF(Tabelle1!$A$1=1,"BREITE",IF(Tabelle1!$A$1=2,"WIDTH"))</f>
        <v>BREITE</v>
      </c>
      <c r="R2" s="16" t="str">
        <f>IF(Tabelle1!$A$1=1,"FLÄCHE",IF(Tabelle1!$A$1=2,"SURFACE"))</f>
        <v>FLÄCHE</v>
      </c>
      <c r="S2" s="10"/>
      <c r="T2" s="11"/>
      <c r="U2" s="10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</row>
    <row r="3" spans="1:214" s="12" customFormat="1" ht="15" customHeight="1" thickBot="1" x14ac:dyDescent="0.3">
      <c r="A3" s="9"/>
      <c r="B3" s="29"/>
      <c r="C3" s="25" t="s">
        <v>32</v>
      </c>
      <c r="D3" s="25" t="s">
        <v>31</v>
      </c>
      <c r="E3" s="63" t="s">
        <v>23</v>
      </c>
      <c r="F3" s="63" t="s">
        <v>23</v>
      </c>
      <c r="G3" s="63" t="s">
        <v>24</v>
      </c>
      <c r="H3" s="63" t="s">
        <v>24</v>
      </c>
      <c r="I3" s="30" t="s">
        <v>27</v>
      </c>
      <c r="J3" s="25" t="s">
        <v>29</v>
      </c>
      <c r="K3" s="25" t="s">
        <v>30</v>
      </c>
      <c r="L3" s="25" t="s">
        <v>29</v>
      </c>
      <c r="M3" s="25" t="s">
        <v>28</v>
      </c>
      <c r="N3" s="63" t="s">
        <v>29</v>
      </c>
      <c r="O3" s="63" t="s">
        <v>42</v>
      </c>
      <c r="P3" s="30" t="s">
        <v>26</v>
      </c>
      <c r="Q3" s="30" t="s">
        <v>26</v>
      </c>
      <c r="R3" s="36" t="s">
        <v>25</v>
      </c>
      <c r="S3" s="31"/>
      <c r="T3" s="11"/>
      <c r="U3" s="3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</row>
    <row r="4" spans="1:214" x14ac:dyDescent="0.25">
      <c r="A4" s="61"/>
      <c r="B4" s="168" t="s">
        <v>6</v>
      </c>
      <c r="C4" s="169">
        <v>25</v>
      </c>
      <c r="D4" s="170">
        <v>410</v>
      </c>
      <c r="E4" s="171">
        <v>37.14</v>
      </c>
      <c r="F4" s="171">
        <v>30.62</v>
      </c>
      <c r="G4" s="171">
        <v>13.92</v>
      </c>
      <c r="H4" s="171">
        <v>13.39</v>
      </c>
      <c r="I4" s="172">
        <v>0.21249999999999999</v>
      </c>
      <c r="J4" s="173">
        <v>-0.28000000000000003</v>
      </c>
      <c r="K4" s="171"/>
      <c r="L4" s="174">
        <v>4.8000000000000001E-2</v>
      </c>
      <c r="M4" s="173"/>
      <c r="N4" s="171"/>
      <c r="O4" s="171"/>
      <c r="P4" s="170">
        <v>1722</v>
      </c>
      <c r="Q4" s="170">
        <v>1134</v>
      </c>
      <c r="R4" s="175">
        <f t="shared" ref="R4:R34" si="0">P4*Q4/1000000</f>
        <v>1.9527479999999999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</row>
    <row r="5" spans="1:214" x14ac:dyDescent="0.25">
      <c r="A5" s="61"/>
      <c r="B5" s="26" t="s">
        <v>2</v>
      </c>
      <c r="C5" s="32">
        <v>25</v>
      </c>
      <c r="D5" s="35">
        <v>415</v>
      </c>
      <c r="E5" s="33">
        <v>37.92</v>
      </c>
      <c r="F5" s="33">
        <v>31.32</v>
      </c>
      <c r="G5" s="33">
        <v>13.99</v>
      </c>
      <c r="H5" s="33">
        <v>13.25</v>
      </c>
      <c r="I5" s="34">
        <v>0.21249999999999999</v>
      </c>
      <c r="J5" s="37">
        <v>-0.25</v>
      </c>
      <c r="K5" s="33"/>
      <c r="L5" s="38">
        <v>4.5999999999999999E-2</v>
      </c>
      <c r="M5" s="37"/>
      <c r="N5" s="33"/>
      <c r="O5" s="33"/>
      <c r="P5" s="35">
        <v>1400</v>
      </c>
      <c r="Q5" s="35">
        <v>1086</v>
      </c>
      <c r="R5" s="51">
        <f t="shared" si="0"/>
        <v>1.5204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</row>
    <row r="6" spans="1:214" x14ac:dyDescent="0.25">
      <c r="A6" s="61"/>
      <c r="B6" s="26" t="s">
        <v>3</v>
      </c>
      <c r="C6" s="32">
        <v>25</v>
      </c>
      <c r="D6" s="35">
        <v>420</v>
      </c>
      <c r="E6" s="33">
        <v>38.11</v>
      </c>
      <c r="F6" s="33">
        <v>31.51</v>
      </c>
      <c r="G6" s="33">
        <v>14.07</v>
      </c>
      <c r="H6" s="33">
        <v>13.33</v>
      </c>
      <c r="I6" s="34">
        <v>0.21510000000000001</v>
      </c>
      <c r="J6" s="37">
        <v>-0.25</v>
      </c>
      <c r="K6" s="33"/>
      <c r="L6" s="38">
        <v>4.5999999999999999E-2</v>
      </c>
      <c r="M6" s="37"/>
      <c r="N6" s="33"/>
      <c r="O6" s="33"/>
      <c r="P6" s="35">
        <v>1400</v>
      </c>
      <c r="Q6" s="35">
        <v>1086</v>
      </c>
      <c r="R6" s="51">
        <f t="shared" si="0"/>
        <v>1.5204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</row>
    <row r="7" spans="1:214" x14ac:dyDescent="0.25">
      <c r="A7" s="61"/>
      <c r="B7" s="26" t="s">
        <v>4</v>
      </c>
      <c r="C7" s="32">
        <v>25</v>
      </c>
      <c r="D7" s="35">
        <v>425</v>
      </c>
      <c r="E7" s="33">
        <v>38.299999999999997</v>
      </c>
      <c r="F7" s="33">
        <v>31.7</v>
      </c>
      <c r="G7" s="33">
        <v>14.15</v>
      </c>
      <c r="H7" s="33">
        <v>13.41</v>
      </c>
      <c r="I7" s="34">
        <v>0.21759999999999999</v>
      </c>
      <c r="J7" s="37">
        <v>-0.25</v>
      </c>
      <c r="K7" s="33"/>
      <c r="L7" s="38">
        <v>4.5999999999999999E-2</v>
      </c>
      <c r="M7" s="37"/>
      <c r="N7" s="33"/>
      <c r="O7" s="33"/>
      <c r="P7" s="35">
        <v>1400</v>
      </c>
      <c r="Q7" s="35">
        <v>1086</v>
      </c>
      <c r="R7" s="51">
        <f t="shared" si="0"/>
        <v>1.5204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</row>
    <row r="8" spans="1:214" x14ac:dyDescent="0.25">
      <c r="A8" s="61"/>
      <c r="B8" s="26" t="s">
        <v>5</v>
      </c>
      <c r="C8" s="32">
        <v>25</v>
      </c>
      <c r="D8" s="35">
        <v>430</v>
      </c>
      <c r="E8" s="33">
        <v>38.49</v>
      </c>
      <c r="F8" s="33">
        <v>31.88</v>
      </c>
      <c r="G8" s="33">
        <v>14.23</v>
      </c>
      <c r="H8" s="33">
        <v>13.49</v>
      </c>
      <c r="I8" s="34">
        <v>0.22020000000000001</v>
      </c>
      <c r="J8" s="37">
        <v>-0.25</v>
      </c>
      <c r="K8" s="33"/>
      <c r="L8" s="38">
        <v>4.5999999999999999E-2</v>
      </c>
      <c r="M8" s="37"/>
      <c r="N8" s="33">
        <v>-0.28999999999999998</v>
      </c>
      <c r="O8" s="33"/>
      <c r="P8" s="35">
        <v>1400</v>
      </c>
      <c r="Q8" s="35">
        <v>1086</v>
      </c>
      <c r="R8" s="51">
        <f t="shared" si="0"/>
        <v>1.5204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</row>
    <row r="9" spans="1:214" x14ac:dyDescent="0.25">
      <c r="A9" s="61"/>
      <c r="B9" s="26" t="s">
        <v>7</v>
      </c>
      <c r="C9" s="32">
        <v>25</v>
      </c>
      <c r="D9" s="35">
        <v>395</v>
      </c>
      <c r="E9" s="33">
        <v>36.9</v>
      </c>
      <c r="F9" s="33">
        <v>30.32</v>
      </c>
      <c r="G9" s="33">
        <v>13.71</v>
      </c>
      <c r="H9" s="33">
        <v>13.03</v>
      </c>
      <c r="I9" s="34">
        <v>0.20230000000000001</v>
      </c>
      <c r="J9" s="37">
        <v>-0.28000000000000003</v>
      </c>
      <c r="K9" s="33"/>
      <c r="L9" s="38">
        <v>4.8000000000000001E-2</v>
      </c>
      <c r="M9" s="37"/>
      <c r="N9" s="33">
        <v>-0.28999999999999998</v>
      </c>
      <c r="O9" s="33"/>
      <c r="P9" s="35">
        <v>1360</v>
      </c>
      <c r="Q9" s="35">
        <v>1086</v>
      </c>
      <c r="R9" s="51">
        <f t="shared" si="0"/>
        <v>1.4769600000000001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</row>
    <row r="10" spans="1:214" x14ac:dyDescent="0.25">
      <c r="A10" s="61"/>
      <c r="B10" s="26" t="s">
        <v>8</v>
      </c>
      <c r="C10" s="32">
        <v>25</v>
      </c>
      <c r="D10" s="35">
        <v>400</v>
      </c>
      <c r="E10" s="33">
        <v>39.979999999999997</v>
      </c>
      <c r="F10" s="33">
        <v>30.42</v>
      </c>
      <c r="G10" s="33">
        <v>13.78</v>
      </c>
      <c r="H10" s="33">
        <v>10.15</v>
      </c>
      <c r="I10" s="34">
        <v>0.20480000000000001</v>
      </c>
      <c r="J10" s="37">
        <v>-0.28000000000000003</v>
      </c>
      <c r="K10" s="33"/>
      <c r="L10" s="38">
        <v>4.8000000000000001E-2</v>
      </c>
      <c r="M10" s="37"/>
      <c r="N10" s="33">
        <v>-0.28999999999999998</v>
      </c>
      <c r="O10" s="33"/>
      <c r="P10" s="35">
        <v>1360</v>
      </c>
      <c r="Q10" s="35">
        <v>1086</v>
      </c>
      <c r="R10" s="51">
        <f t="shared" si="0"/>
        <v>1.4769600000000001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</row>
    <row r="11" spans="1:214" x14ac:dyDescent="0.25">
      <c r="A11" s="61"/>
      <c r="B11" s="26" t="s">
        <v>9</v>
      </c>
      <c r="C11" s="32">
        <v>25</v>
      </c>
      <c r="D11" s="35">
        <v>405</v>
      </c>
      <c r="E11" s="33">
        <v>37.06</v>
      </c>
      <c r="F11" s="33">
        <v>30.52</v>
      </c>
      <c r="G11" s="33">
        <v>13.85</v>
      </c>
      <c r="H11" s="33">
        <v>13.27</v>
      </c>
      <c r="I11" s="34">
        <v>0.2074</v>
      </c>
      <c r="J11" s="37">
        <v>-0.28000000000000003</v>
      </c>
      <c r="K11" s="33"/>
      <c r="L11" s="38">
        <v>4.8000000000000001E-2</v>
      </c>
      <c r="M11" s="37"/>
      <c r="N11" s="33">
        <v>-0.28999999999999998</v>
      </c>
      <c r="O11" s="33"/>
      <c r="P11" s="35">
        <v>1360</v>
      </c>
      <c r="Q11" s="35">
        <v>1086</v>
      </c>
      <c r="R11" s="51">
        <f t="shared" si="0"/>
        <v>1.4769600000000001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</row>
    <row r="12" spans="1:214" x14ac:dyDescent="0.25">
      <c r="A12" s="61"/>
      <c r="B12" s="26" t="s">
        <v>10</v>
      </c>
      <c r="C12" s="32">
        <v>25</v>
      </c>
      <c r="D12" s="35">
        <v>410</v>
      </c>
      <c r="E12" s="33">
        <v>37.14</v>
      </c>
      <c r="F12" s="33">
        <v>30.62</v>
      </c>
      <c r="G12" s="33">
        <v>13.92</v>
      </c>
      <c r="H12" s="33">
        <v>13.39</v>
      </c>
      <c r="I12" s="34">
        <v>0.21</v>
      </c>
      <c r="J12" s="37">
        <v>-0.28000000000000003</v>
      </c>
      <c r="K12" s="33"/>
      <c r="L12" s="38">
        <v>4.8000000000000001E-2</v>
      </c>
      <c r="M12" s="37"/>
      <c r="N12" s="33">
        <v>-0.28999999999999998</v>
      </c>
      <c r="O12" s="33"/>
      <c r="P12" s="35">
        <v>1360</v>
      </c>
      <c r="Q12" s="35">
        <v>1086</v>
      </c>
      <c r="R12" s="51">
        <f t="shared" si="0"/>
        <v>1.4769600000000001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</row>
    <row r="13" spans="1:214" x14ac:dyDescent="0.25">
      <c r="A13" s="61"/>
      <c r="B13" s="26" t="s">
        <v>11</v>
      </c>
      <c r="C13" s="32">
        <v>25</v>
      </c>
      <c r="D13" s="35">
        <v>415</v>
      </c>
      <c r="E13" s="33">
        <v>37.31</v>
      </c>
      <c r="F13" s="33">
        <v>30.79</v>
      </c>
      <c r="G13" s="33">
        <v>14.01</v>
      </c>
      <c r="H13" s="33">
        <v>13.48</v>
      </c>
      <c r="I13" s="34">
        <v>0.21249999999999999</v>
      </c>
      <c r="J13" s="37">
        <v>-0.28000000000000003</v>
      </c>
      <c r="K13" s="33"/>
      <c r="L13" s="38">
        <v>4.8000000000000001E-2</v>
      </c>
      <c r="M13" s="37"/>
      <c r="N13" s="33">
        <v>-0.28999999999999998</v>
      </c>
      <c r="O13" s="33"/>
      <c r="P13" s="35">
        <v>1360</v>
      </c>
      <c r="Q13" s="35">
        <v>1086</v>
      </c>
      <c r="R13" s="51">
        <f t="shared" si="0"/>
        <v>1.4769600000000001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</row>
    <row r="14" spans="1:214" x14ac:dyDescent="0.25">
      <c r="A14" s="61"/>
      <c r="B14" s="26" t="s">
        <v>12</v>
      </c>
      <c r="C14" s="32">
        <v>25</v>
      </c>
      <c r="D14" s="35">
        <v>395</v>
      </c>
      <c r="E14" s="33">
        <v>36.67</v>
      </c>
      <c r="F14" s="33">
        <v>30.67</v>
      </c>
      <c r="G14" s="33">
        <v>13.42</v>
      </c>
      <c r="H14" s="33">
        <v>12.88</v>
      </c>
      <c r="I14" s="34">
        <v>0.20230000000000001</v>
      </c>
      <c r="J14" s="37">
        <v>-0.28000000000000003</v>
      </c>
      <c r="K14" s="33"/>
      <c r="L14" s="38">
        <v>4.8000000000000001E-2</v>
      </c>
      <c r="M14" s="37"/>
      <c r="N14" s="33"/>
      <c r="O14" s="33"/>
      <c r="P14" s="35">
        <v>1722</v>
      </c>
      <c r="Q14" s="35">
        <v>1134</v>
      </c>
      <c r="R14" s="51">
        <f t="shared" si="0"/>
        <v>1.9527479999999999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</row>
    <row r="15" spans="1:214" x14ac:dyDescent="0.25">
      <c r="A15" s="61"/>
      <c r="B15" s="26" t="s">
        <v>14</v>
      </c>
      <c r="C15" s="32">
        <v>25</v>
      </c>
      <c r="D15" s="35">
        <v>400</v>
      </c>
      <c r="E15" s="33">
        <v>36.869999999999997</v>
      </c>
      <c r="F15" s="33">
        <v>30.85</v>
      </c>
      <c r="G15" s="33">
        <v>13.52</v>
      </c>
      <c r="H15" s="33">
        <v>12.97</v>
      </c>
      <c r="I15" s="34">
        <v>0.20480000000000001</v>
      </c>
      <c r="J15" s="37">
        <v>-0.28000000000000003</v>
      </c>
      <c r="K15" s="33"/>
      <c r="L15" s="38">
        <v>4.8000000000000001E-2</v>
      </c>
      <c r="M15" s="37"/>
      <c r="N15" s="33"/>
      <c r="O15" s="33"/>
      <c r="P15" s="35">
        <v>1722</v>
      </c>
      <c r="Q15" s="35">
        <v>1134</v>
      </c>
      <c r="R15" s="51">
        <f t="shared" si="0"/>
        <v>1.9527479999999999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</row>
    <row r="16" spans="1:214" x14ac:dyDescent="0.25">
      <c r="A16" s="61"/>
      <c r="B16" s="26" t="s">
        <v>13</v>
      </c>
      <c r="C16" s="32">
        <v>25</v>
      </c>
      <c r="D16" s="35">
        <v>405</v>
      </c>
      <c r="E16" s="33">
        <v>37.049999999999997</v>
      </c>
      <c r="F16" s="33">
        <v>31.02</v>
      </c>
      <c r="G16" s="33">
        <v>13.62</v>
      </c>
      <c r="H16" s="33">
        <v>13.06</v>
      </c>
      <c r="I16" s="34">
        <v>0.2074</v>
      </c>
      <c r="J16" s="37">
        <v>-0.28000000000000003</v>
      </c>
      <c r="K16" s="33"/>
      <c r="L16" s="38">
        <v>4.8000000000000001E-2</v>
      </c>
      <c r="M16" s="37"/>
      <c r="N16" s="33"/>
      <c r="O16" s="33"/>
      <c r="P16" s="35">
        <v>1722</v>
      </c>
      <c r="Q16" s="35">
        <v>1134</v>
      </c>
      <c r="R16" s="51">
        <f t="shared" si="0"/>
        <v>1.9527479999999999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</row>
    <row r="17" spans="1:214" x14ac:dyDescent="0.25">
      <c r="A17" s="61"/>
      <c r="B17" s="26" t="s">
        <v>15</v>
      </c>
      <c r="C17" s="32">
        <v>25</v>
      </c>
      <c r="D17" s="35">
        <v>410</v>
      </c>
      <c r="E17" s="33">
        <v>37.229999999999997</v>
      </c>
      <c r="F17" s="33">
        <v>31.18</v>
      </c>
      <c r="G17" s="33">
        <v>13.72</v>
      </c>
      <c r="H17" s="33">
        <v>13.15</v>
      </c>
      <c r="I17" s="34">
        <v>0.21</v>
      </c>
      <c r="J17" s="37">
        <v>-0.28000000000000003</v>
      </c>
      <c r="K17" s="33"/>
      <c r="L17" s="38">
        <v>4.8000000000000001E-2</v>
      </c>
      <c r="M17" s="37"/>
      <c r="N17" s="33"/>
      <c r="O17" s="33"/>
      <c r="P17" s="35">
        <v>1722</v>
      </c>
      <c r="Q17" s="35">
        <v>1134</v>
      </c>
      <c r="R17" s="51">
        <f t="shared" si="0"/>
        <v>1.9527479999999999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</row>
    <row r="18" spans="1:214" x14ac:dyDescent="0.25">
      <c r="A18" s="61"/>
      <c r="B18" s="26" t="s">
        <v>16</v>
      </c>
      <c r="C18" s="32">
        <v>25</v>
      </c>
      <c r="D18" s="35">
        <v>415</v>
      </c>
      <c r="E18" s="33">
        <v>37.42</v>
      </c>
      <c r="F18" s="33">
        <v>31.35</v>
      </c>
      <c r="G18" s="33">
        <v>13.82</v>
      </c>
      <c r="H18" s="33">
        <v>13.24</v>
      </c>
      <c r="I18" s="34">
        <v>0.21249999999999999</v>
      </c>
      <c r="J18" s="37">
        <v>-0.28000000000000003</v>
      </c>
      <c r="K18" s="33"/>
      <c r="L18" s="38">
        <v>4.8000000000000001E-2</v>
      </c>
      <c r="M18" s="37"/>
      <c r="N18" s="33"/>
      <c r="O18" s="33"/>
      <c r="P18" s="35">
        <v>1722</v>
      </c>
      <c r="Q18" s="35">
        <v>1134</v>
      </c>
      <c r="R18" s="51">
        <f t="shared" si="0"/>
        <v>1.9527479999999999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</row>
    <row r="19" spans="1:214" x14ac:dyDescent="0.25">
      <c r="A19" s="61"/>
      <c r="B19" s="26" t="s">
        <v>17</v>
      </c>
      <c r="C19" s="32">
        <v>25</v>
      </c>
      <c r="D19" s="35">
        <v>415</v>
      </c>
      <c r="E19" s="33">
        <v>34.619999999999997</v>
      </c>
      <c r="F19" s="33">
        <v>28.24</v>
      </c>
      <c r="G19" s="33">
        <v>10.84</v>
      </c>
      <c r="H19" s="33">
        <v>10.41</v>
      </c>
      <c r="I19" s="34">
        <v>0.21249999999999999</v>
      </c>
      <c r="J19" s="37">
        <v>-0.28000000000000003</v>
      </c>
      <c r="K19" s="33"/>
      <c r="L19" s="38">
        <v>4.8000000000000001E-2</v>
      </c>
      <c r="M19" s="37"/>
      <c r="N19" s="33"/>
      <c r="O19" s="33"/>
      <c r="P19" s="35">
        <v>1722</v>
      </c>
      <c r="Q19" s="35">
        <v>1134</v>
      </c>
      <c r="R19" s="51">
        <f t="shared" si="0"/>
        <v>1.9527479999999999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</row>
    <row r="20" spans="1:214" x14ac:dyDescent="0.25">
      <c r="A20" s="61"/>
      <c r="B20" s="26" t="s">
        <v>44</v>
      </c>
      <c r="C20" s="32">
        <v>25</v>
      </c>
      <c r="D20" s="35">
        <v>415</v>
      </c>
      <c r="E20" s="33">
        <v>37.700000000000003</v>
      </c>
      <c r="F20" s="33">
        <v>31.74</v>
      </c>
      <c r="G20" s="33">
        <v>13.96</v>
      </c>
      <c r="H20" s="33">
        <v>13.08</v>
      </c>
      <c r="I20" s="34">
        <v>0.20799999999999999</v>
      </c>
      <c r="J20" s="37">
        <v>-0.28000000000000003</v>
      </c>
      <c r="K20" s="33"/>
      <c r="L20" s="38">
        <v>0.04</v>
      </c>
      <c r="M20" s="37"/>
      <c r="N20" s="33">
        <v>-0.39</v>
      </c>
      <c r="O20" s="33"/>
      <c r="P20" s="35">
        <v>1740</v>
      </c>
      <c r="Q20" s="35">
        <v>1145</v>
      </c>
      <c r="R20" s="51">
        <f t="shared" si="0"/>
        <v>1.9923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</row>
    <row r="21" spans="1:214" x14ac:dyDescent="0.25">
      <c r="A21" s="61"/>
      <c r="B21" s="26" t="s">
        <v>45</v>
      </c>
      <c r="C21" s="32">
        <v>25</v>
      </c>
      <c r="D21" s="35">
        <v>410</v>
      </c>
      <c r="E21" s="33">
        <v>46.6</v>
      </c>
      <c r="F21" s="33">
        <v>38.799999999999997</v>
      </c>
      <c r="G21" s="33">
        <v>11.07</v>
      </c>
      <c r="H21" s="33">
        <v>10.57</v>
      </c>
      <c r="I21" s="34">
        <v>0.2092</v>
      </c>
      <c r="J21" s="37">
        <v>-0.27</v>
      </c>
      <c r="K21" s="33"/>
      <c r="L21" s="38">
        <v>0.04</v>
      </c>
      <c r="M21" s="37"/>
      <c r="N21" s="33">
        <v>-0.39</v>
      </c>
      <c r="O21" s="33"/>
      <c r="P21" s="35">
        <v>1719</v>
      </c>
      <c r="Q21" s="35">
        <v>1140</v>
      </c>
      <c r="R21" s="51">
        <f t="shared" si="0"/>
        <v>1.95966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</row>
    <row r="22" spans="1:214" x14ac:dyDescent="0.25">
      <c r="A22" s="61"/>
      <c r="B22" s="26" t="s">
        <v>84</v>
      </c>
      <c r="C22" s="32">
        <v>25</v>
      </c>
      <c r="D22" s="35">
        <v>430</v>
      </c>
      <c r="E22" s="33">
        <v>38.5</v>
      </c>
      <c r="F22" s="33">
        <v>32.119999999999997</v>
      </c>
      <c r="G22" s="33">
        <v>14.14</v>
      </c>
      <c r="H22" s="33">
        <v>13.39</v>
      </c>
      <c r="I22" s="34">
        <v>0.215</v>
      </c>
      <c r="J22" s="37">
        <v>-0.26</v>
      </c>
      <c r="K22" s="33"/>
      <c r="L22" s="38">
        <v>4.5999999999999999E-2</v>
      </c>
      <c r="M22" s="37"/>
      <c r="N22" s="33">
        <v>-0.3</v>
      </c>
      <c r="O22" s="33"/>
      <c r="P22" s="35">
        <v>1762</v>
      </c>
      <c r="Q22" s="35">
        <v>1134</v>
      </c>
      <c r="R22" s="51">
        <f t="shared" si="0"/>
        <v>1.998108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</row>
    <row r="23" spans="1:214" x14ac:dyDescent="0.25">
      <c r="A23" s="61"/>
      <c r="B23" s="26" t="s">
        <v>90</v>
      </c>
      <c r="C23" s="32">
        <v>25</v>
      </c>
      <c r="D23" s="35">
        <v>430</v>
      </c>
      <c r="E23" s="33">
        <v>39.43</v>
      </c>
      <c r="F23" s="33">
        <v>33.159999999999997</v>
      </c>
      <c r="G23" s="33">
        <v>14</v>
      </c>
      <c r="H23" s="33">
        <v>12.97</v>
      </c>
      <c r="I23" s="34">
        <v>0.22</v>
      </c>
      <c r="J23" s="37">
        <v>-0.23</v>
      </c>
      <c r="K23" s="33"/>
      <c r="L23" s="38">
        <v>0.05</v>
      </c>
      <c r="M23" s="37"/>
      <c r="N23" s="33">
        <v>-0.28999999999999998</v>
      </c>
      <c r="O23" s="33"/>
      <c r="P23" s="35">
        <v>1722</v>
      </c>
      <c r="Q23" s="35">
        <v>1134</v>
      </c>
      <c r="R23" s="51">
        <f t="shared" si="0"/>
        <v>1.9527479999999999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</row>
    <row r="24" spans="1:214" x14ac:dyDescent="0.25">
      <c r="A24" s="61"/>
      <c r="B24" s="26" t="s">
        <v>91</v>
      </c>
      <c r="C24" s="32">
        <v>25</v>
      </c>
      <c r="D24" s="35">
        <v>380</v>
      </c>
      <c r="E24" s="33">
        <v>41.7</v>
      </c>
      <c r="F24" s="33">
        <v>34.6</v>
      </c>
      <c r="G24" s="33">
        <v>11.98</v>
      </c>
      <c r="H24" s="33">
        <v>10.99</v>
      </c>
      <c r="I24" s="34">
        <v>0.20899999999999999</v>
      </c>
      <c r="J24" s="37">
        <v>-0.26</v>
      </c>
      <c r="K24" s="33"/>
      <c r="L24" s="38">
        <v>4.2000000000000003E-2</v>
      </c>
      <c r="M24" s="37"/>
      <c r="N24" s="33">
        <v>-0.33</v>
      </c>
      <c r="O24" s="33"/>
      <c r="P24" s="35">
        <v>1755</v>
      </c>
      <c r="Q24" s="35">
        <v>1038</v>
      </c>
      <c r="R24" s="51">
        <f t="shared" si="0"/>
        <v>1.82169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</row>
    <row r="25" spans="1:214" x14ac:dyDescent="0.25">
      <c r="A25" s="61"/>
      <c r="B25" s="26" t="s">
        <v>92</v>
      </c>
      <c r="C25" s="32">
        <v>25</v>
      </c>
      <c r="D25" s="35">
        <v>445</v>
      </c>
      <c r="E25" s="33">
        <v>40.590000000000003</v>
      </c>
      <c r="F25" s="33">
        <v>33.6</v>
      </c>
      <c r="G25" s="33">
        <v>14.02</v>
      </c>
      <c r="H25" s="33">
        <v>13.25</v>
      </c>
      <c r="I25" s="34">
        <v>0.22800000000000001</v>
      </c>
      <c r="J25" s="37">
        <v>-0.22</v>
      </c>
      <c r="K25" s="33"/>
      <c r="L25" s="38">
        <v>0.05</v>
      </c>
      <c r="M25" s="37"/>
      <c r="N25" s="33">
        <v>-0.26</v>
      </c>
      <c r="O25" s="33"/>
      <c r="P25" s="35">
        <v>1722</v>
      </c>
      <c r="Q25" s="35">
        <v>1134</v>
      </c>
      <c r="R25" s="51">
        <f t="shared" si="0"/>
        <v>1.9527479999999999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</row>
    <row r="26" spans="1:214" x14ac:dyDescent="0.25">
      <c r="A26" s="61"/>
      <c r="B26" s="26" t="s">
        <v>93</v>
      </c>
      <c r="C26" s="32">
        <v>25</v>
      </c>
      <c r="D26" s="35">
        <v>235</v>
      </c>
      <c r="E26" s="33">
        <v>37.630000000000003</v>
      </c>
      <c r="F26" s="33">
        <v>30.33</v>
      </c>
      <c r="G26" s="33">
        <v>8.32</v>
      </c>
      <c r="H26" s="33">
        <v>7.75</v>
      </c>
      <c r="I26" s="34">
        <v>0.14499999999999999</v>
      </c>
      <c r="J26" s="37">
        <v>-0.28999999999999998</v>
      </c>
      <c r="K26" s="33"/>
      <c r="L26" s="38">
        <v>0.04</v>
      </c>
      <c r="M26" s="37"/>
      <c r="N26" s="33">
        <v>-0.42</v>
      </c>
      <c r="O26" s="33"/>
      <c r="P26" s="35">
        <v>1639</v>
      </c>
      <c r="Q26" s="35">
        <v>989</v>
      </c>
      <c r="R26" s="51">
        <f t="shared" si="0"/>
        <v>1.6209709999999999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</row>
    <row r="27" spans="1:214" x14ac:dyDescent="0.25">
      <c r="A27" s="61"/>
      <c r="B27" s="26" t="s">
        <v>94</v>
      </c>
      <c r="C27" s="32">
        <v>25</v>
      </c>
      <c r="D27" s="35">
        <v>480</v>
      </c>
      <c r="E27" s="33">
        <v>42.71</v>
      </c>
      <c r="F27" s="33">
        <v>35.380000000000003</v>
      </c>
      <c r="G27" s="33">
        <v>14.31</v>
      </c>
      <c r="H27" s="33">
        <v>13.57</v>
      </c>
      <c r="I27" s="34">
        <v>0.22239999999999999</v>
      </c>
      <c r="J27" s="37">
        <v>-0.25</v>
      </c>
      <c r="K27" s="33"/>
      <c r="L27" s="38">
        <v>4.4999999999999998E-2</v>
      </c>
      <c r="M27" s="37"/>
      <c r="N27" s="33">
        <v>-0.28999999999999998</v>
      </c>
      <c r="O27" s="33"/>
      <c r="P27" s="35">
        <v>1903</v>
      </c>
      <c r="Q27" s="35">
        <v>1134</v>
      </c>
      <c r="R27" s="51">
        <f t="shared" si="0"/>
        <v>2.1580020000000002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</row>
    <row r="28" spans="1:214" x14ac:dyDescent="0.25">
      <c r="A28" s="61"/>
      <c r="B28" s="26" t="s">
        <v>95</v>
      </c>
      <c r="C28" s="32">
        <v>25</v>
      </c>
      <c r="D28" s="35">
        <v>395</v>
      </c>
      <c r="E28" s="33">
        <v>37.14</v>
      </c>
      <c r="F28" s="33">
        <v>30.98</v>
      </c>
      <c r="G28" s="33">
        <v>13.58</v>
      </c>
      <c r="H28" s="33">
        <v>12.76</v>
      </c>
      <c r="I28" s="34">
        <v>0.19800000000000001</v>
      </c>
      <c r="J28" s="37">
        <v>-0.28000000000000003</v>
      </c>
      <c r="K28" s="33"/>
      <c r="L28" s="38">
        <v>0.04</v>
      </c>
      <c r="M28" s="37"/>
      <c r="N28" s="33">
        <v>-0.39</v>
      </c>
      <c r="O28" s="33"/>
      <c r="P28" s="35">
        <v>1740</v>
      </c>
      <c r="Q28" s="35">
        <v>1145</v>
      </c>
      <c r="R28" s="51">
        <f t="shared" si="0"/>
        <v>1.9923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</row>
    <row r="29" spans="1:214" x14ac:dyDescent="0.25">
      <c r="A29" s="61"/>
      <c r="B29" s="26" t="s">
        <v>120</v>
      </c>
      <c r="C29" s="32">
        <v>25</v>
      </c>
      <c r="D29" s="35">
        <v>445</v>
      </c>
      <c r="E29" s="33">
        <v>36.619999999999997</v>
      </c>
      <c r="F29" s="33">
        <v>30.72</v>
      </c>
      <c r="G29" s="33">
        <v>15.42</v>
      </c>
      <c r="H29" s="33">
        <v>14.49</v>
      </c>
      <c r="I29" s="34">
        <v>0.223</v>
      </c>
      <c r="J29" s="37">
        <v>-0.22</v>
      </c>
      <c r="K29" s="33"/>
      <c r="L29" s="38">
        <v>0.04</v>
      </c>
      <c r="M29" s="37"/>
      <c r="N29" s="33">
        <v>-0.24</v>
      </c>
      <c r="O29" s="33"/>
      <c r="P29" s="35">
        <v>1762</v>
      </c>
      <c r="Q29" s="35">
        <v>1134</v>
      </c>
      <c r="R29" s="51">
        <f t="shared" si="0"/>
        <v>1.998108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</row>
    <row r="30" spans="1:214" x14ac:dyDescent="0.25">
      <c r="A30" s="61"/>
      <c r="B30" s="26" t="s">
        <v>96</v>
      </c>
      <c r="C30" s="32">
        <v>25</v>
      </c>
      <c r="D30" s="35">
        <v>450</v>
      </c>
      <c r="E30" s="33">
        <v>39.4</v>
      </c>
      <c r="F30" s="33">
        <v>33.39</v>
      </c>
      <c r="G30" s="33">
        <v>14.28</v>
      </c>
      <c r="H30" s="33">
        <v>13.48</v>
      </c>
      <c r="I30" s="34">
        <v>0.22500000000000001</v>
      </c>
      <c r="J30" s="37">
        <v>-0.25</v>
      </c>
      <c r="K30" s="33"/>
      <c r="L30" s="38">
        <v>4.2999999999999997E-2</v>
      </c>
      <c r="M30" s="37"/>
      <c r="N30" s="33">
        <v>-0.28999999999999998</v>
      </c>
      <c r="O30" s="33"/>
      <c r="P30" s="35">
        <v>1762</v>
      </c>
      <c r="Q30" s="35">
        <v>1134</v>
      </c>
      <c r="R30" s="51">
        <f t="shared" si="0"/>
        <v>1.998108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</row>
    <row r="31" spans="1:214" x14ac:dyDescent="0.25">
      <c r="A31" s="61"/>
      <c r="B31" s="26" t="s">
        <v>123</v>
      </c>
      <c r="C31" s="32">
        <v>25</v>
      </c>
      <c r="D31" s="35">
        <v>435</v>
      </c>
      <c r="E31" s="33">
        <v>38.200000000000003</v>
      </c>
      <c r="F31" s="33">
        <v>31.6</v>
      </c>
      <c r="G31" s="33">
        <v>14.4</v>
      </c>
      <c r="H31" s="33">
        <v>13.8</v>
      </c>
      <c r="I31" s="34">
        <v>0.223</v>
      </c>
      <c r="J31" s="37">
        <v>-0.25</v>
      </c>
      <c r="K31" s="33"/>
      <c r="L31" s="38">
        <v>4.4999999999999998E-2</v>
      </c>
      <c r="M31" s="37"/>
      <c r="N31" s="33">
        <v>-0.3</v>
      </c>
      <c r="O31" s="33"/>
      <c r="P31" s="35">
        <v>1715</v>
      </c>
      <c r="Q31" s="35">
        <v>1128</v>
      </c>
      <c r="R31" s="51">
        <f t="shared" si="0"/>
        <v>1.93452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</row>
    <row r="32" spans="1:214" x14ac:dyDescent="0.25">
      <c r="A32" s="61"/>
      <c r="B32" s="26" t="s">
        <v>124</v>
      </c>
      <c r="C32" s="32">
        <v>25</v>
      </c>
      <c r="D32" s="35">
        <v>530</v>
      </c>
      <c r="E32" s="33">
        <v>46.7</v>
      </c>
      <c r="F32" s="33">
        <v>38.799999999999997</v>
      </c>
      <c r="G32" s="33">
        <v>14.4</v>
      </c>
      <c r="H32" s="33">
        <v>13.8</v>
      </c>
      <c r="I32" s="34">
        <v>0.223</v>
      </c>
      <c r="J32" s="37">
        <v>-0.25</v>
      </c>
      <c r="K32" s="33"/>
      <c r="L32" s="38">
        <v>4.4999999999999998E-2</v>
      </c>
      <c r="M32" s="37"/>
      <c r="N32" s="33">
        <v>-0.3</v>
      </c>
      <c r="O32" s="33"/>
      <c r="P32" s="35">
        <v>2087</v>
      </c>
      <c r="Q32" s="35">
        <v>1128</v>
      </c>
      <c r="R32" s="51">
        <f t="shared" si="0"/>
        <v>2.354136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</row>
    <row r="33" spans="1:214" x14ac:dyDescent="0.25">
      <c r="A33" s="61"/>
      <c r="B33" s="26" t="s">
        <v>125</v>
      </c>
      <c r="C33" s="32">
        <v>25</v>
      </c>
      <c r="D33" s="35">
        <v>470</v>
      </c>
      <c r="E33" s="33">
        <v>40.700000000000003</v>
      </c>
      <c r="F33" s="33">
        <v>34.299999999999997</v>
      </c>
      <c r="G33" s="33">
        <v>14.72</v>
      </c>
      <c r="H33" s="33">
        <v>13.71</v>
      </c>
      <c r="I33" s="34">
        <v>0.23499999999999999</v>
      </c>
      <c r="J33" s="37">
        <v>-0.22</v>
      </c>
      <c r="K33" s="33"/>
      <c r="L33" s="38">
        <v>0.05</v>
      </c>
      <c r="M33" s="37"/>
      <c r="N33" s="33">
        <v>-0.26</v>
      </c>
      <c r="O33" s="33"/>
      <c r="P33" s="35">
        <v>1762</v>
      </c>
      <c r="Q33" s="35">
        <v>1134</v>
      </c>
      <c r="R33" s="51">
        <f t="shared" si="0"/>
        <v>1.998108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</row>
    <row r="34" spans="1:214" x14ac:dyDescent="0.25">
      <c r="A34" s="61"/>
      <c r="B34" s="26" t="s">
        <v>126</v>
      </c>
      <c r="C34" s="32">
        <v>25</v>
      </c>
      <c r="D34" s="35">
        <v>470</v>
      </c>
      <c r="E34" s="33">
        <v>36.19</v>
      </c>
      <c r="F34" s="33">
        <v>31.13</v>
      </c>
      <c r="G34" s="33">
        <v>15.8</v>
      </c>
      <c r="H34" s="33">
        <v>15.18</v>
      </c>
      <c r="I34" s="34">
        <v>0.23519999999999999</v>
      </c>
      <c r="J34" s="37">
        <v>-0.24</v>
      </c>
      <c r="K34" s="33"/>
      <c r="L34" s="38">
        <v>4.5999999999999999E-2</v>
      </c>
      <c r="M34" s="37"/>
      <c r="N34" s="33">
        <v>-0.26</v>
      </c>
      <c r="O34" s="33"/>
      <c r="P34" s="35">
        <v>1792</v>
      </c>
      <c r="Q34" s="35">
        <v>1140</v>
      </c>
      <c r="R34" s="51">
        <f t="shared" si="0"/>
        <v>2.0428799999999998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</row>
    <row r="35" spans="1:214" x14ac:dyDescent="0.25">
      <c r="A35" s="61"/>
      <c r="B35" s="26"/>
      <c r="C35" s="32"/>
      <c r="D35" s="35"/>
      <c r="E35" s="33"/>
      <c r="F35" s="33"/>
      <c r="G35" s="33"/>
      <c r="H35" s="33"/>
      <c r="I35" s="34"/>
      <c r="J35" s="37"/>
      <c r="K35" s="33"/>
      <c r="L35" s="38"/>
      <c r="M35" s="37"/>
      <c r="N35" s="33"/>
      <c r="O35" s="33"/>
      <c r="P35" s="35"/>
      <c r="Q35" s="35"/>
      <c r="R35" s="51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</row>
    <row r="36" spans="1:214" x14ac:dyDescent="0.25">
      <c r="A36" s="61"/>
      <c r="B36" s="26"/>
      <c r="C36" s="32"/>
      <c r="D36" s="35"/>
      <c r="E36" s="33"/>
      <c r="F36" s="33"/>
      <c r="G36" s="33"/>
      <c r="H36" s="33"/>
      <c r="I36" s="34"/>
      <c r="J36" s="37"/>
      <c r="K36" s="33"/>
      <c r="L36" s="38"/>
      <c r="M36" s="37"/>
      <c r="N36" s="33"/>
      <c r="O36" s="33"/>
      <c r="P36" s="35"/>
      <c r="Q36" s="35"/>
      <c r="R36" s="51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</row>
    <row r="37" spans="1:214" x14ac:dyDescent="0.25">
      <c r="A37" s="61"/>
      <c r="B37" s="26"/>
      <c r="C37" s="32"/>
      <c r="D37" s="35"/>
      <c r="E37" s="33"/>
      <c r="F37" s="33"/>
      <c r="G37" s="33"/>
      <c r="H37" s="33"/>
      <c r="I37" s="34"/>
      <c r="J37" s="37"/>
      <c r="K37" s="33"/>
      <c r="L37" s="38"/>
      <c r="M37" s="37"/>
      <c r="N37" s="33"/>
      <c r="O37" s="33"/>
      <c r="P37" s="35"/>
      <c r="Q37" s="35"/>
      <c r="R37" s="51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</row>
    <row r="38" spans="1:214" x14ac:dyDescent="0.25">
      <c r="A38" s="61"/>
      <c r="B38" s="26"/>
      <c r="C38" s="32"/>
      <c r="D38" s="35"/>
      <c r="E38" s="33"/>
      <c r="F38" s="33"/>
      <c r="G38" s="33"/>
      <c r="H38" s="33"/>
      <c r="I38" s="34"/>
      <c r="J38" s="37"/>
      <c r="K38" s="33"/>
      <c r="L38" s="38"/>
      <c r="M38" s="37"/>
      <c r="N38" s="33"/>
      <c r="O38" s="33"/>
      <c r="P38" s="35"/>
      <c r="Q38" s="35"/>
      <c r="R38" s="51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</row>
    <row r="39" spans="1:214" x14ac:dyDescent="0.25">
      <c r="A39" s="61"/>
      <c r="B39" s="26"/>
      <c r="C39" s="32"/>
      <c r="D39" s="35"/>
      <c r="E39" s="33"/>
      <c r="F39" s="33"/>
      <c r="G39" s="33"/>
      <c r="H39" s="33"/>
      <c r="I39" s="34"/>
      <c r="J39" s="37"/>
      <c r="K39" s="33"/>
      <c r="L39" s="38"/>
      <c r="M39" s="37"/>
      <c r="N39" s="33"/>
      <c r="O39" s="33"/>
      <c r="P39" s="35"/>
      <c r="Q39" s="35"/>
      <c r="R39" s="51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</row>
    <row r="40" spans="1:214" x14ac:dyDescent="0.25">
      <c r="A40" s="61"/>
      <c r="B40" s="26"/>
      <c r="C40" s="32"/>
      <c r="D40" s="35"/>
      <c r="E40" s="33"/>
      <c r="F40" s="33"/>
      <c r="G40" s="33"/>
      <c r="H40" s="33"/>
      <c r="I40" s="34"/>
      <c r="J40" s="37"/>
      <c r="K40" s="33"/>
      <c r="L40" s="38"/>
      <c r="M40" s="37"/>
      <c r="N40" s="33"/>
      <c r="O40" s="33"/>
      <c r="P40" s="35"/>
      <c r="Q40" s="35"/>
      <c r="R40" s="51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</row>
    <row r="41" spans="1:214" x14ac:dyDescent="0.25">
      <c r="A41" s="61"/>
      <c r="B41" s="26"/>
      <c r="C41" s="32"/>
      <c r="D41" s="35"/>
      <c r="E41" s="33"/>
      <c r="F41" s="33"/>
      <c r="G41" s="33"/>
      <c r="H41" s="33"/>
      <c r="I41" s="34"/>
      <c r="J41" s="37"/>
      <c r="K41" s="33"/>
      <c r="L41" s="38"/>
      <c r="M41" s="37"/>
      <c r="N41" s="33"/>
      <c r="O41" s="33"/>
      <c r="P41" s="35"/>
      <c r="Q41" s="35"/>
      <c r="R41" s="51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</row>
    <row r="42" spans="1:214" x14ac:dyDescent="0.25">
      <c r="A42" s="61"/>
      <c r="B42" s="26"/>
      <c r="C42" s="32"/>
      <c r="D42" s="35"/>
      <c r="E42" s="33"/>
      <c r="F42" s="33"/>
      <c r="G42" s="33"/>
      <c r="H42" s="33"/>
      <c r="I42" s="34"/>
      <c r="J42" s="37"/>
      <c r="K42" s="33"/>
      <c r="L42" s="38"/>
      <c r="M42" s="37"/>
      <c r="N42" s="33"/>
      <c r="O42" s="33"/>
      <c r="P42" s="35"/>
      <c r="Q42" s="35"/>
      <c r="R42" s="51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</row>
    <row r="43" spans="1:214" x14ac:dyDescent="0.25">
      <c r="A43" s="61"/>
      <c r="B43" s="26"/>
      <c r="C43" s="32"/>
      <c r="D43" s="35"/>
      <c r="E43" s="33"/>
      <c r="F43" s="33"/>
      <c r="G43" s="33"/>
      <c r="H43" s="33"/>
      <c r="I43" s="34"/>
      <c r="J43" s="37"/>
      <c r="K43" s="33"/>
      <c r="L43" s="38"/>
      <c r="M43" s="37"/>
      <c r="N43" s="33"/>
      <c r="O43" s="33"/>
      <c r="P43" s="35"/>
      <c r="Q43" s="35"/>
      <c r="R43" s="51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</row>
    <row r="44" spans="1:214" x14ac:dyDescent="0.25">
      <c r="A44" s="61"/>
      <c r="B44" s="26"/>
      <c r="C44" s="32"/>
      <c r="D44" s="35"/>
      <c r="E44" s="33"/>
      <c r="F44" s="33"/>
      <c r="G44" s="33"/>
      <c r="H44" s="33"/>
      <c r="I44" s="34"/>
      <c r="J44" s="37"/>
      <c r="K44" s="33"/>
      <c r="L44" s="38"/>
      <c r="M44" s="37"/>
      <c r="N44" s="33"/>
      <c r="O44" s="33"/>
      <c r="P44" s="35"/>
      <c r="Q44" s="35"/>
      <c r="R44" s="51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</row>
    <row r="45" spans="1:214" x14ac:dyDescent="0.25">
      <c r="A45" s="61"/>
      <c r="B45" s="26"/>
      <c r="C45" s="32"/>
      <c r="D45" s="35"/>
      <c r="E45" s="33"/>
      <c r="F45" s="33"/>
      <c r="G45" s="33"/>
      <c r="H45" s="33"/>
      <c r="I45" s="34"/>
      <c r="J45" s="37"/>
      <c r="K45" s="33"/>
      <c r="L45" s="38"/>
      <c r="M45" s="37"/>
      <c r="N45" s="33"/>
      <c r="O45" s="33"/>
      <c r="P45" s="35"/>
      <c r="Q45" s="35"/>
      <c r="R45" s="51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</row>
    <row r="46" spans="1:214" x14ac:dyDescent="0.25">
      <c r="A46" s="61"/>
      <c r="B46" s="26"/>
      <c r="C46" s="32"/>
      <c r="D46" s="35"/>
      <c r="E46" s="33"/>
      <c r="F46" s="33"/>
      <c r="G46" s="33"/>
      <c r="H46" s="33"/>
      <c r="I46" s="34"/>
      <c r="J46" s="37"/>
      <c r="K46" s="33"/>
      <c r="L46" s="38"/>
      <c r="M46" s="37"/>
      <c r="N46" s="33"/>
      <c r="O46" s="33"/>
      <c r="P46" s="35"/>
      <c r="Q46" s="35"/>
      <c r="R46" s="51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</row>
    <row r="47" spans="1:214" x14ac:dyDescent="0.25">
      <c r="A47" s="61"/>
      <c r="B47" s="26"/>
      <c r="C47" s="32"/>
      <c r="D47" s="35"/>
      <c r="E47" s="33"/>
      <c r="F47" s="33"/>
      <c r="G47" s="33"/>
      <c r="H47" s="33"/>
      <c r="I47" s="34"/>
      <c r="J47" s="37"/>
      <c r="K47" s="33"/>
      <c r="L47" s="38"/>
      <c r="M47" s="37"/>
      <c r="N47" s="33"/>
      <c r="O47" s="33"/>
      <c r="P47" s="35"/>
      <c r="Q47" s="35"/>
      <c r="R47" s="51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</row>
    <row r="48" spans="1:214" x14ac:dyDescent="0.25">
      <c r="A48" s="61"/>
      <c r="B48" s="26"/>
      <c r="C48" s="32"/>
      <c r="D48" s="35"/>
      <c r="E48" s="33"/>
      <c r="F48" s="33"/>
      <c r="G48" s="33"/>
      <c r="H48" s="33"/>
      <c r="I48" s="34"/>
      <c r="J48" s="37"/>
      <c r="K48" s="33"/>
      <c r="L48" s="38"/>
      <c r="M48" s="37"/>
      <c r="N48" s="33"/>
      <c r="O48" s="33"/>
      <c r="P48" s="35"/>
      <c r="Q48" s="35"/>
      <c r="R48" s="51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</row>
    <row r="49" spans="1:214" x14ac:dyDescent="0.25">
      <c r="A49" s="61"/>
      <c r="B49" s="26"/>
      <c r="C49" s="32"/>
      <c r="D49" s="35"/>
      <c r="E49" s="33"/>
      <c r="F49" s="33"/>
      <c r="G49" s="33"/>
      <c r="H49" s="33"/>
      <c r="I49" s="34"/>
      <c r="J49" s="37"/>
      <c r="K49" s="33"/>
      <c r="L49" s="38"/>
      <c r="M49" s="37"/>
      <c r="N49" s="33"/>
      <c r="O49" s="33"/>
      <c r="P49" s="35"/>
      <c r="Q49" s="35"/>
      <c r="R49" s="51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</row>
    <row r="50" spans="1:214" x14ac:dyDescent="0.25">
      <c r="A50" s="61"/>
      <c r="B50" s="26"/>
      <c r="C50" s="32"/>
      <c r="D50" s="35"/>
      <c r="E50" s="33"/>
      <c r="F50" s="33"/>
      <c r="G50" s="33"/>
      <c r="H50" s="33"/>
      <c r="I50" s="34"/>
      <c r="J50" s="37"/>
      <c r="K50" s="33"/>
      <c r="L50" s="38"/>
      <c r="M50" s="37"/>
      <c r="N50" s="33"/>
      <c r="O50" s="33"/>
      <c r="P50" s="35"/>
      <c r="Q50" s="35"/>
      <c r="R50" s="51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</row>
    <row r="51" spans="1:214" x14ac:dyDescent="0.25">
      <c r="A51" s="61"/>
      <c r="B51" s="26"/>
      <c r="C51" s="32"/>
      <c r="D51" s="35"/>
      <c r="E51" s="33"/>
      <c r="F51" s="33"/>
      <c r="G51" s="33"/>
      <c r="H51" s="33"/>
      <c r="I51" s="34"/>
      <c r="J51" s="37"/>
      <c r="K51" s="33"/>
      <c r="L51" s="38"/>
      <c r="M51" s="37"/>
      <c r="N51" s="33"/>
      <c r="O51" s="33"/>
      <c r="P51" s="35"/>
      <c r="Q51" s="35"/>
      <c r="R51" s="51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</row>
    <row r="52" spans="1:214" x14ac:dyDescent="0.25">
      <c r="A52" s="61"/>
      <c r="B52" s="26"/>
      <c r="C52" s="32"/>
      <c r="D52" s="35"/>
      <c r="E52" s="33"/>
      <c r="F52" s="33"/>
      <c r="G52" s="33"/>
      <c r="H52" s="33"/>
      <c r="I52" s="34"/>
      <c r="J52" s="37"/>
      <c r="K52" s="33"/>
      <c r="L52" s="38"/>
      <c r="M52" s="37"/>
      <c r="N52" s="33"/>
      <c r="O52" s="33"/>
      <c r="P52" s="35"/>
      <c r="Q52" s="35"/>
      <c r="R52" s="51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</row>
    <row r="53" spans="1:214" x14ac:dyDescent="0.25">
      <c r="A53" s="61"/>
      <c r="B53" s="26"/>
      <c r="C53" s="32"/>
      <c r="D53" s="35"/>
      <c r="E53" s="33"/>
      <c r="F53" s="33"/>
      <c r="G53" s="33"/>
      <c r="H53" s="33"/>
      <c r="I53" s="34"/>
      <c r="J53" s="37"/>
      <c r="K53" s="33"/>
      <c r="L53" s="38"/>
      <c r="M53" s="37"/>
      <c r="N53" s="33"/>
      <c r="O53" s="33"/>
      <c r="P53" s="35"/>
      <c r="Q53" s="35"/>
      <c r="R53" s="51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</row>
    <row r="54" spans="1:214" x14ac:dyDescent="0.25">
      <c r="A54" s="61"/>
      <c r="B54" s="26"/>
      <c r="C54" s="32"/>
      <c r="D54" s="35"/>
      <c r="E54" s="33"/>
      <c r="F54" s="33"/>
      <c r="G54" s="33"/>
      <c r="H54" s="33"/>
      <c r="I54" s="34"/>
      <c r="J54" s="37"/>
      <c r="K54" s="33"/>
      <c r="L54" s="38"/>
      <c r="M54" s="37"/>
      <c r="N54" s="33"/>
      <c r="O54" s="33"/>
      <c r="P54" s="35"/>
      <c r="Q54" s="35"/>
      <c r="R54" s="51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</row>
    <row r="55" spans="1:214" x14ac:dyDescent="0.25">
      <c r="A55" s="61"/>
      <c r="B55" s="26"/>
      <c r="C55" s="32"/>
      <c r="D55" s="35"/>
      <c r="E55" s="33"/>
      <c r="F55" s="33"/>
      <c r="G55" s="33"/>
      <c r="H55" s="33"/>
      <c r="I55" s="34"/>
      <c r="J55" s="37"/>
      <c r="K55" s="33"/>
      <c r="L55" s="38"/>
      <c r="M55" s="37"/>
      <c r="N55" s="33"/>
      <c r="O55" s="33"/>
      <c r="P55" s="35"/>
      <c r="Q55" s="35"/>
      <c r="R55" s="51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</row>
    <row r="56" spans="1:214" x14ac:dyDescent="0.25">
      <c r="A56" s="61"/>
      <c r="B56" s="26"/>
      <c r="C56" s="32"/>
      <c r="D56" s="35"/>
      <c r="E56" s="33"/>
      <c r="F56" s="33"/>
      <c r="G56" s="33"/>
      <c r="H56" s="33"/>
      <c r="I56" s="34"/>
      <c r="J56" s="37"/>
      <c r="K56" s="33"/>
      <c r="L56" s="38"/>
      <c r="M56" s="37"/>
      <c r="N56" s="33"/>
      <c r="O56" s="33"/>
      <c r="P56" s="35"/>
      <c r="Q56" s="35"/>
      <c r="R56" s="51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</row>
    <row r="57" spans="1:214" x14ac:dyDescent="0.25">
      <c r="A57" s="61"/>
      <c r="B57" s="26"/>
      <c r="C57" s="32"/>
      <c r="D57" s="35"/>
      <c r="E57" s="33"/>
      <c r="F57" s="33"/>
      <c r="G57" s="33"/>
      <c r="H57" s="33"/>
      <c r="I57" s="34"/>
      <c r="J57" s="37"/>
      <c r="K57" s="33"/>
      <c r="L57" s="38"/>
      <c r="M57" s="37"/>
      <c r="N57" s="33"/>
      <c r="O57" s="33"/>
      <c r="P57" s="35"/>
      <c r="Q57" s="35"/>
      <c r="R57" s="51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</row>
    <row r="58" spans="1:214" x14ac:dyDescent="0.25">
      <c r="A58" s="61"/>
      <c r="B58" s="26"/>
      <c r="C58" s="32"/>
      <c r="D58" s="35"/>
      <c r="E58" s="33"/>
      <c r="F58" s="33"/>
      <c r="G58" s="33"/>
      <c r="H58" s="33"/>
      <c r="I58" s="34"/>
      <c r="J58" s="37"/>
      <c r="K58" s="33"/>
      <c r="L58" s="38"/>
      <c r="M58" s="37"/>
      <c r="N58" s="33"/>
      <c r="O58" s="33"/>
      <c r="P58" s="35"/>
      <c r="Q58" s="35"/>
      <c r="R58" s="51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</row>
    <row r="59" spans="1:214" x14ac:dyDescent="0.25">
      <c r="A59" s="61"/>
      <c r="B59" s="26"/>
      <c r="C59" s="32"/>
      <c r="D59" s="35"/>
      <c r="E59" s="33"/>
      <c r="F59" s="33"/>
      <c r="G59" s="33"/>
      <c r="H59" s="33"/>
      <c r="I59" s="34"/>
      <c r="J59" s="37"/>
      <c r="K59" s="33"/>
      <c r="L59" s="38"/>
      <c r="M59" s="37"/>
      <c r="N59" s="33"/>
      <c r="O59" s="33"/>
      <c r="P59" s="35"/>
      <c r="Q59" s="35"/>
      <c r="R59" s="51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</row>
    <row r="60" spans="1:214" x14ac:dyDescent="0.25">
      <c r="A60" s="61"/>
      <c r="B60" s="26"/>
      <c r="C60" s="32"/>
      <c r="D60" s="35"/>
      <c r="E60" s="33"/>
      <c r="F60" s="33"/>
      <c r="G60" s="33"/>
      <c r="H60" s="33"/>
      <c r="I60" s="34"/>
      <c r="J60" s="37"/>
      <c r="K60" s="33"/>
      <c r="L60" s="38"/>
      <c r="M60" s="37"/>
      <c r="N60" s="33"/>
      <c r="O60" s="33"/>
      <c r="P60" s="35"/>
      <c r="Q60" s="35"/>
      <c r="R60" s="51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</row>
    <row r="61" spans="1:214" x14ac:dyDescent="0.25">
      <c r="A61" s="61"/>
      <c r="B61" s="26"/>
      <c r="C61" s="32"/>
      <c r="D61" s="35"/>
      <c r="E61" s="33"/>
      <c r="F61" s="33"/>
      <c r="G61" s="33"/>
      <c r="H61" s="33"/>
      <c r="I61" s="34"/>
      <c r="J61" s="37"/>
      <c r="K61" s="33"/>
      <c r="L61" s="38"/>
      <c r="M61" s="37"/>
      <c r="N61" s="33"/>
      <c r="O61" s="33"/>
      <c r="P61" s="35"/>
      <c r="Q61" s="35"/>
      <c r="R61" s="51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</row>
    <row r="62" spans="1:214" x14ac:dyDescent="0.25">
      <c r="A62" s="61"/>
      <c r="B62" s="26"/>
      <c r="C62" s="32"/>
      <c r="D62" s="35"/>
      <c r="E62" s="33"/>
      <c r="F62" s="33"/>
      <c r="G62" s="33"/>
      <c r="H62" s="33"/>
      <c r="I62" s="34"/>
      <c r="J62" s="37"/>
      <c r="K62" s="33"/>
      <c r="L62" s="38"/>
      <c r="M62" s="37"/>
      <c r="N62" s="33"/>
      <c r="O62" s="33"/>
      <c r="P62" s="35"/>
      <c r="Q62" s="35"/>
      <c r="R62" s="51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</row>
    <row r="63" spans="1:214" x14ac:dyDescent="0.25">
      <c r="A63" s="61"/>
      <c r="B63" s="26"/>
      <c r="C63" s="32"/>
      <c r="D63" s="35"/>
      <c r="E63" s="33"/>
      <c r="F63" s="33"/>
      <c r="G63" s="33"/>
      <c r="H63" s="33"/>
      <c r="I63" s="34"/>
      <c r="J63" s="37"/>
      <c r="K63" s="33"/>
      <c r="L63" s="38"/>
      <c r="M63" s="37"/>
      <c r="N63" s="33"/>
      <c r="O63" s="33"/>
      <c r="P63" s="35"/>
      <c r="Q63" s="35"/>
      <c r="R63" s="51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</row>
    <row r="64" spans="1:214" x14ac:dyDescent="0.25">
      <c r="A64" s="61"/>
      <c r="B64" s="26"/>
      <c r="C64" s="32"/>
      <c r="D64" s="35"/>
      <c r="E64" s="33"/>
      <c r="F64" s="33"/>
      <c r="G64" s="33"/>
      <c r="H64" s="33"/>
      <c r="I64" s="34"/>
      <c r="J64" s="37"/>
      <c r="K64" s="33"/>
      <c r="L64" s="38"/>
      <c r="M64" s="37"/>
      <c r="N64" s="33"/>
      <c r="O64" s="33"/>
      <c r="P64" s="35"/>
      <c r="Q64" s="35"/>
      <c r="R64" s="51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</row>
    <row r="65" spans="1:214" x14ac:dyDescent="0.25">
      <c r="A65" s="61"/>
      <c r="B65" s="26"/>
      <c r="C65" s="32"/>
      <c r="D65" s="35"/>
      <c r="E65" s="33"/>
      <c r="F65" s="33"/>
      <c r="G65" s="33"/>
      <c r="H65" s="33"/>
      <c r="I65" s="34"/>
      <c r="J65" s="37"/>
      <c r="K65" s="33"/>
      <c r="L65" s="38"/>
      <c r="M65" s="37"/>
      <c r="N65" s="33"/>
      <c r="O65" s="33"/>
      <c r="P65" s="35"/>
      <c r="Q65" s="35"/>
      <c r="R65" s="51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</row>
    <row r="66" spans="1:214" x14ac:dyDescent="0.25">
      <c r="A66" s="61"/>
      <c r="B66" s="26"/>
      <c r="C66" s="32"/>
      <c r="D66" s="35"/>
      <c r="E66" s="33"/>
      <c r="F66" s="33"/>
      <c r="G66" s="33"/>
      <c r="H66" s="33"/>
      <c r="I66" s="34"/>
      <c r="J66" s="37"/>
      <c r="K66" s="33"/>
      <c r="L66" s="38"/>
      <c r="M66" s="37"/>
      <c r="N66" s="33"/>
      <c r="O66" s="33"/>
      <c r="P66" s="35"/>
      <c r="Q66" s="35"/>
      <c r="R66" s="51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</row>
    <row r="67" spans="1:214" x14ac:dyDescent="0.25">
      <c r="A67" s="61"/>
      <c r="B67" s="26"/>
      <c r="C67" s="32"/>
      <c r="D67" s="35"/>
      <c r="E67" s="33"/>
      <c r="F67" s="33"/>
      <c r="G67" s="33"/>
      <c r="H67" s="33"/>
      <c r="I67" s="34"/>
      <c r="J67" s="37"/>
      <c r="K67" s="33"/>
      <c r="L67" s="38"/>
      <c r="M67" s="37"/>
      <c r="N67" s="33"/>
      <c r="O67" s="33"/>
      <c r="P67" s="35"/>
      <c r="Q67" s="35"/>
      <c r="R67" s="51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</row>
    <row r="68" spans="1:214" x14ac:dyDescent="0.25">
      <c r="A68" s="61"/>
      <c r="B68" s="26"/>
      <c r="C68" s="32"/>
      <c r="D68" s="35"/>
      <c r="E68" s="33"/>
      <c r="F68" s="33"/>
      <c r="G68" s="33"/>
      <c r="H68" s="33"/>
      <c r="I68" s="34"/>
      <c r="J68" s="37"/>
      <c r="K68" s="33"/>
      <c r="L68" s="38"/>
      <c r="M68" s="37"/>
      <c r="N68" s="33"/>
      <c r="O68" s="33"/>
      <c r="P68" s="35"/>
      <c r="Q68" s="35"/>
      <c r="R68" s="51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</row>
    <row r="69" spans="1:214" x14ac:dyDescent="0.25">
      <c r="A69" s="61"/>
      <c r="B69" s="26"/>
      <c r="C69" s="32"/>
      <c r="D69" s="35"/>
      <c r="E69" s="33"/>
      <c r="F69" s="33"/>
      <c r="G69" s="33"/>
      <c r="H69" s="33"/>
      <c r="I69" s="34"/>
      <c r="J69" s="37"/>
      <c r="K69" s="33"/>
      <c r="L69" s="38"/>
      <c r="M69" s="37"/>
      <c r="N69" s="33"/>
      <c r="O69" s="33"/>
      <c r="P69" s="35"/>
      <c r="Q69" s="35"/>
      <c r="R69" s="51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</row>
    <row r="70" spans="1:214" x14ac:dyDescent="0.25">
      <c r="A70" s="61"/>
      <c r="B70" s="26"/>
      <c r="C70" s="32"/>
      <c r="D70" s="35"/>
      <c r="E70" s="33"/>
      <c r="F70" s="33"/>
      <c r="G70" s="33"/>
      <c r="H70" s="33"/>
      <c r="I70" s="34"/>
      <c r="J70" s="37"/>
      <c r="K70" s="33"/>
      <c r="L70" s="38"/>
      <c r="M70" s="37"/>
      <c r="N70" s="33"/>
      <c r="O70" s="33"/>
      <c r="P70" s="35"/>
      <c r="Q70" s="35"/>
      <c r="R70" s="51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</row>
    <row r="71" spans="1:214" x14ac:dyDescent="0.25">
      <c r="A71" s="61"/>
      <c r="B71" s="26"/>
      <c r="C71" s="32"/>
      <c r="D71" s="35"/>
      <c r="E71" s="33"/>
      <c r="F71" s="33"/>
      <c r="G71" s="33"/>
      <c r="H71" s="33"/>
      <c r="I71" s="34"/>
      <c r="J71" s="37"/>
      <c r="K71" s="33"/>
      <c r="L71" s="38"/>
      <c r="M71" s="37"/>
      <c r="N71" s="33"/>
      <c r="O71" s="33"/>
      <c r="P71" s="35"/>
      <c r="Q71" s="35"/>
      <c r="R71" s="51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</row>
    <row r="72" spans="1:214" x14ac:dyDescent="0.25">
      <c r="A72" s="61"/>
      <c r="B72" s="26"/>
      <c r="C72" s="32"/>
      <c r="D72" s="35"/>
      <c r="E72" s="33"/>
      <c r="F72" s="33"/>
      <c r="G72" s="33"/>
      <c r="H72" s="33"/>
      <c r="I72" s="34"/>
      <c r="J72" s="37"/>
      <c r="K72" s="33"/>
      <c r="L72" s="38"/>
      <c r="M72" s="37"/>
      <c r="N72" s="33"/>
      <c r="O72" s="33"/>
      <c r="P72" s="35"/>
      <c r="Q72" s="35"/>
      <c r="R72" s="51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</row>
    <row r="73" spans="1:214" x14ac:dyDescent="0.25">
      <c r="A73" s="61"/>
      <c r="B73" s="26"/>
      <c r="C73" s="32"/>
      <c r="D73" s="35"/>
      <c r="E73" s="33"/>
      <c r="F73" s="33"/>
      <c r="G73" s="33"/>
      <c r="H73" s="33"/>
      <c r="I73" s="34"/>
      <c r="J73" s="37"/>
      <c r="K73" s="33"/>
      <c r="L73" s="38"/>
      <c r="M73" s="37"/>
      <c r="N73" s="33"/>
      <c r="O73" s="33"/>
      <c r="P73" s="35"/>
      <c r="Q73" s="35"/>
      <c r="R73" s="51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</row>
    <row r="74" spans="1:214" x14ac:dyDescent="0.25">
      <c r="A74" s="61"/>
      <c r="B74" s="26"/>
      <c r="C74" s="32"/>
      <c r="D74" s="35"/>
      <c r="E74" s="33"/>
      <c r="F74" s="33"/>
      <c r="G74" s="33"/>
      <c r="H74" s="33"/>
      <c r="I74" s="34"/>
      <c r="J74" s="37"/>
      <c r="K74" s="33"/>
      <c r="L74" s="38"/>
      <c r="M74" s="37"/>
      <c r="N74" s="33"/>
      <c r="O74" s="33"/>
      <c r="P74" s="35"/>
      <c r="Q74" s="35"/>
      <c r="R74" s="51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</row>
    <row r="75" spans="1:214" x14ac:dyDescent="0.25">
      <c r="A75" s="61"/>
      <c r="B75" s="26"/>
      <c r="C75" s="32"/>
      <c r="D75" s="35"/>
      <c r="E75" s="33"/>
      <c r="F75" s="33"/>
      <c r="G75" s="33"/>
      <c r="H75" s="33"/>
      <c r="I75" s="34"/>
      <c r="J75" s="37"/>
      <c r="K75" s="33"/>
      <c r="L75" s="38"/>
      <c r="M75" s="37"/>
      <c r="N75" s="33"/>
      <c r="O75" s="33"/>
      <c r="P75" s="35"/>
      <c r="Q75" s="35"/>
      <c r="R75" s="51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</row>
    <row r="76" spans="1:214" x14ac:dyDescent="0.25">
      <c r="A76" s="61"/>
      <c r="B76" s="26"/>
      <c r="C76" s="32"/>
      <c r="D76" s="35"/>
      <c r="E76" s="33"/>
      <c r="F76" s="33"/>
      <c r="G76" s="33"/>
      <c r="H76" s="33"/>
      <c r="I76" s="34"/>
      <c r="J76" s="37"/>
      <c r="K76" s="33"/>
      <c r="L76" s="38"/>
      <c r="M76" s="37"/>
      <c r="N76" s="33"/>
      <c r="O76" s="33"/>
      <c r="P76" s="35"/>
      <c r="Q76" s="35"/>
      <c r="R76" s="51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</row>
    <row r="77" spans="1:214" x14ac:dyDescent="0.25">
      <c r="A77" s="61"/>
      <c r="B77" s="26"/>
      <c r="C77" s="32"/>
      <c r="D77" s="35"/>
      <c r="E77" s="33"/>
      <c r="F77" s="33"/>
      <c r="G77" s="33"/>
      <c r="H77" s="33"/>
      <c r="I77" s="34"/>
      <c r="J77" s="37"/>
      <c r="K77" s="33"/>
      <c r="L77" s="38"/>
      <c r="M77" s="37"/>
      <c r="N77" s="33"/>
      <c r="O77" s="33"/>
      <c r="P77" s="35"/>
      <c r="Q77" s="35"/>
      <c r="R77" s="51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</row>
    <row r="78" spans="1:214" x14ac:dyDescent="0.25">
      <c r="A78" s="61"/>
      <c r="B78" s="26"/>
      <c r="C78" s="32"/>
      <c r="D78" s="35"/>
      <c r="E78" s="33"/>
      <c r="F78" s="33"/>
      <c r="G78" s="33"/>
      <c r="H78" s="33"/>
      <c r="I78" s="34"/>
      <c r="J78" s="37"/>
      <c r="K78" s="33"/>
      <c r="L78" s="38"/>
      <c r="M78" s="37"/>
      <c r="N78" s="33"/>
      <c r="O78" s="33"/>
      <c r="P78" s="35"/>
      <c r="Q78" s="35"/>
      <c r="R78" s="51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</row>
    <row r="79" spans="1:214" x14ac:dyDescent="0.25">
      <c r="A79" s="61"/>
      <c r="B79" s="26"/>
      <c r="C79" s="32"/>
      <c r="D79" s="35"/>
      <c r="E79" s="33"/>
      <c r="F79" s="33"/>
      <c r="G79" s="33"/>
      <c r="H79" s="33"/>
      <c r="I79" s="34"/>
      <c r="J79" s="37"/>
      <c r="K79" s="33"/>
      <c r="L79" s="38"/>
      <c r="M79" s="37"/>
      <c r="N79" s="33"/>
      <c r="O79" s="33"/>
      <c r="P79" s="35"/>
      <c r="Q79" s="35"/>
      <c r="R79" s="51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</row>
    <row r="80" spans="1:214" x14ac:dyDescent="0.25">
      <c r="A80" s="61"/>
      <c r="B80" s="26"/>
      <c r="C80" s="32"/>
      <c r="D80" s="35"/>
      <c r="E80" s="33"/>
      <c r="F80" s="33"/>
      <c r="G80" s="33"/>
      <c r="H80" s="33"/>
      <c r="I80" s="34"/>
      <c r="J80" s="37"/>
      <c r="K80" s="33"/>
      <c r="L80" s="38"/>
      <c r="M80" s="37"/>
      <c r="N80" s="33"/>
      <c r="O80" s="33"/>
      <c r="P80" s="35"/>
      <c r="Q80" s="35"/>
      <c r="R80" s="51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</row>
    <row r="81" spans="1:214" x14ac:dyDescent="0.25">
      <c r="A81" s="61"/>
      <c r="B81" s="26"/>
      <c r="C81" s="32"/>
      <c r="D81" s="35"/>
      <c r="E81" s="33"/>
      <c r="F81" s="33"/>
      <c r="G81" s="33"/>
      <c r="H81" s="33"/>
      <c r="I81" s="34"/>
      <c r="J81" s="37"/>
      <c r="K81" s="33"/>
      <c r="L81" s="38"/>
      <c r="M81" s="37"/>
      <c r="N81" s="33"/>
      <c r="O81" s="33"/>
      <c r="P81" s="35"/>
      <c r="Q81" s="35"/>
      <c r="R81" s="51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</row>
    <row r="82" spans="1:214" x14ac:dyDescent="0.25">
      <c r="A82" s="61"/>
      <c r="B82" s="26"/>
      <c r="C82" s="32"/>
      <c r="D82" s="35"/>
      <c r="E82" s="33"/>
      <c r="F82" s="33"/>
      <c r="G82" s="33"/>
      <c r="H82" s="33"/>
      <c r="I82" s="34"/>
      <c r="J82" s="37"/>
      <c r="K82" s="33"/>
      <c r="L82" s="38"/>
      <c r="M82" s="37"/>
      <c r="N82" s="33"/>
      <c r="O82" s="33"/>
      <c r="P82" s="35"/>
      <c r="Q82" s="35"/>
      <c r="R82" s="51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</row>
    <row r="83" spans="1:214" x14ac:dyDescent="0.25">
      <c r="A83" s="61"/>
      <c r="B83" s="26"/>
      <c r="C83" s="32"/>
      <c r="D83" s="35"/>
      <c r="E83" s="33"/>
      <c r="F83" s="33"/>
      <c r="G83" s="33"/>
      <c r="H83" s="33"/>
      <c r="I83" s="34"/>
      <c r="J83" s="37"/>
      <c r="K83" s="33"/>
      <c r="L83" s="38"/>
      <c r="M83" s="37"/>
      <c r="N83" s="33"/>
      <c r="O83" s="33"/>
      <c r="P83" s="35"/>
      <c r="Q83" s="35"/>
      <c r="R83" s="51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</row>
    <row r="84" spans="1:214" x14ac:dyDescent="0.25">
      <c r="A84" s="61"/>
      <c r="B84" s="26"/>
      <c r="C84" s="32"/>
      <c r="D84" s="35"/>
      <c r="E84" s="33"/>
      <c r="F84" s="33"/>
      <c r="G84" s="33"/>
      <c r="H84" s="33"/>
      <c r="I84" s="34"/>
      <c r="J84" s="37"/>
      <c r="K84" s="33"/>
      <c r="L84" s="38"/>
      <c r="M84" s="37"/>
      <c r="N84" s="33"/>
      <c r="O84" s="33"/>
      <c r="P84" s="35"/>
      <c r="Q84" s="35"/>
      <c r="R84" s="51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</row>
    <row r="85" spans="1:214" x14ac:dyDescent="0.25">
      <c r="A85" s="61"/>
      <c r="B85" s="26"/>
      <c r="C85" s="32"/>
      <c r="D85" s="35"/>
      <c r="E85" s="33"/>
      <c r="F85" s="33"/>
      <c r="G85" s="33"/>
      <c r="H85" s="33"/>
      <c r="I85" s="34"/>
      <c r="J85" s="37"/>
      <c r="K85" s="33"/>
      <c r="L85" s="38"/>
      <c r="M85" s="37"/>
      <c r="N85" s="33"/>
      <c r="O85" s="33"/>
      <c r="P85" s="35"/>
      <c r="Q85" s="35"/>
      <c r="R85" s="51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</row>
    <row r="86" spans="1:214" x14ac:dyDescent="0.25">
      <c r="A86" s="61"/>
      <c r="B86" s="26"/>
      <c r="C86" s="32"/>
      <c r="D86" s="35"/>
      <c r="E86" s="33"/>
      <c r="F86" s="33"/>
      <c r="G86" s="33"/>
      <c r="H86" s="33"/>
      <c r="I86" s="34"/>
      <c r="J86" s="37"/>
      <c r="K86" s="33"/>
      <c r="L86" s="38"/>
      <c r="M86" s="37"/>
      <c r="N86" s="33"/>
      <c r="O86" s="33"/>
      <c r="P86" s="35"/>
      <c r="Q86" s="35"/>
      <c r="R86" s="51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</row>
    <row r="87" spans="1:214" x14ac:dyDescent="0.25">
      <c r="A87" s="61"/>
      <c r="B87" s="26"/>
      <c r="C87" s="32"/>
      <c r="D87" s="35"/>
      <c r="E87" s="33"/>
      <c r="F87" s="33"/>
      <c r="G87" s="33"/>
      <c r="H87" s="33"/>
      <c r="I87" s="34"/>
      <c r="J87" s="37"/>
      <c r="K87" s="33"/>
      <c r="L87" s="38"/>
      <c r="M87" s="37"/>
      <c r="N87" s="33"/>
      <c r="O87" s="33"/>
      <c r="P87" s="35"/>
      <c r="Q87" s="35"/>
      <c r="R87" s="51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</row>
    <row r="88" spans="1:214" x14ac:dyDescent="0.25">
      <c r="A88" s="61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</row>
    <row r="89" spans="1:214" x14ac:dyDescent="0.25">
      <c r="A89" s="61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</row>
    <row r="90" spans="1:214" x14ac:dyDescent="0.25">
      <c r="A90" s="61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</row>
    <row r="91" spans="1:214" x14ac:dyDescent="0.25">
      <c r="A91" s="61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</row>
    <row r="92" spans="1:214" x14ac:dyDescent="0.25">
      <c r="A92" s="61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</row>
    <row r="93" spans="1:214" x14ac:dyDescent="0.25">
      <c r="A93" s="61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</row>
    <row r="94" spans="1:214" x14ac:dyDescent="0.25">
      <c r="A94" s="61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</row>
    <row r="95" spans="1:214" x14ac:dyDescent="0.25">
      <c r="A95" s="61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</row>
    <row r="96" spans="1:214" x14ac:dyDescent="0.25">
      <c r="A96" s="61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</row>
    <row r="97" spans="1:214" x14ac:dyDescent="0.25">
      <c r="A97" s="61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</row>
    <row r="98" spans="1:214" x14ac:dyDescent="0.25">
      <c r="A98" s="61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</row>
    <row r="99" spans="1:214" x14ac:dyDescent="0.25">
      <c r="A99" s="61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</row>
    <row r="100" spans="1:214" x14ac:dyDescent="0.25">
      <c r="A100" s="61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</row>
    <row r="101" spans="1:214" x14ac:dyDescent="0.25">
      <c r="A101" s="61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</row>
    <row r="102" spans="1:214" x14ac:dyDescent="0.25">
      <c r="A102" s="61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</row>
    <row r="103" spans="1:214" x14ac:dyDescent="0.25">
      <c r="A103" s="61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</row>
    <row r="104" spans="1:214" x14ac:dyDescent="0.25">
      <c r="A104" s="61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</row>
    <row r="105" spans="1:214" x14ac:dyDescent="0.25">
      <c r="A105" s="61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</row>
    <row r="106" spans="1:214" x14ac:dyDescent="0.25">
      <c r="A106" s="61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</row>
    <row r="107" spans="1:214" x14ac:dyDescent="0.25">
      <c r="A107" s="61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</row>
    <row r="108" spans="1:214" x14ac:dyDescent="0.25">
      <c r="A108" s="61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</row>
    <row r="109" spans="1:214" x14ac:dyDescent="0.25">
      <c r="A109" s="61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</row>
    <row r="110" spans="1:214" x14ac:dyDescent="0.25">
      <c r="A110" s="61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</row>
    <row r="111" spans="1:214" x14ac:dyDescent="0.25">
      <c r="A111" s="61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</row>
    <row r="112" spans="1:214" x14ac:dyDescent="0.25">
      <c r="A112" s="61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</row>
    <row r="113" spans="1:214" x14ac:dyDescent="0.25">
      <c r="A113" s="61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</row>
    <row r="114" spans="1:214" x14ac:dyDescent="0.25">
      <c r="A114" s="61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</row>
    <row r="115" spans="1:214" x14ac:dyDescent="0.25">
      <c r="A115" s="61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</row>
    <row r="116" spans="1:214" x14ac:dyDescent="0.25">
      <c r="A116" s="61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</row>
    <row r="117" spans="1:214" x14ac:dyDescent="0.25">
      <c r="A117" s="61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</row>
    <row r="118" spans="1:214" x14ac:dyDescent="0.25">
      <c r="A118" s="61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</row>
    <row r="119" spans="1:214" x14ac:dyDescent="0.25">
      <c r="A119" s="61"/>
      <c r="B119" s="26"/>
      <c r="C119" s="32"/>
      <c r="D119" s="35"/>
      <c r="E119" s="33"/>
      <c r="F119" s="33"/>
      <c r="G119" s="33"/>
      <c r="H119" s="33"/>
      <c r="I119" s="34"/>
      <c r="J119" s="37"/>
      <c r="K119" s="33"/>
      <c r="L119" s="38"/>
      <c r="M119" s="37"/>
      <c r="N119" s="33"/>
      <c r="O119" s="33"/>
      <c r="P119" s="35"/>
      <c r="Q119" s="35"/>
      <c r="R119" s="51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</row>
    <row r="120" spans="1:214" x14ac:dyDescent="0.25">
      <c r="A120" s="61"/>
      <c r="B120" s="26"/>
      <c r="C120" s="32"/>
      <c r="D120" s="35"/>
      <c r="E120" s="33"/>
      <c r="F120" s="33"/>
      <c r="G120" s="33"/>
      <c r="H120" s="33"/>
      <c r="I120" s="34"/>
      <c r="J120" s="37"/>
      <c r="K120" s="33"/>
      <c r="L120" s="38"/>
      <c r="M120" s="37"/>
      <c r="N120" s="33"/>
      <c r="O120" s="33"/>
      <c r="P120" s="35"/>
      <c r="Q120" s="35"/>
      <c r="R120" s="51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</row>
    <row r="121" spans="1:214" x14ac:dyDescent="0.25">
      <c r="A121" s="61"/>
      <c r="B121" s="26"/>
      <c r="C121" s="32"/>
      <c r="D121" s="35"/>
      <c r="E121" s="33"/>
      <c r="F121" s="33"/>
      <c r="G121" s="33"/>
      <c r="H121" s="33"/>
      <c r="I121" s="34"/>
      <c r="J121" s="37"/>
      <c r="K121" s="33"/>
      <c r="L121" s="38"/>
      <c r="M121" s="37"/>
      <c r="N121" s="33"/>
      <c r="O121" s="33"/>
      <c r="P121" s="35"/>
      <c r="Q121" s="35"/>
      <c r="R121" s="51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</row>
    <row r="122" spans="1:214" x14ac:dyDescent="0.25">
      <c r="A122" s="61"/>
      <c r="B122" s="26"/>
      <c r="C122" s="32"/>
      <c r="D122" s="35"/>
      <c r="E122" s="33"/>
      <c r="F122" s="33"/>
      <c r="G122" s="33"/>
      <c r="H122" s="33"/>
      <c r="I122" s="34"/>
      <c r="J122" s="37"/>
      <c r="K122" s="33"/>
      <c r="L122" s="38"/>
      <c r="M122" s="37"/>
      <c r="N122" s="33"/>
      <c r="O122" s="33"/>
      <c r="P122" s="35"/>
      <c r="Q122" s="35"/>
      <c r="R122" s="51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</row>
    <row r="123" spans="1:214" x14ac:dyDescent="0.25">
      <c r="A123" s="61"/>
      <c r="B123" s="26"/>
      <c r="C123" s="32"/>
      <c r="D123" s="35"/>
      <c r="E123" s="33"/>
      <c r="F123" s="33"/>
      <c r="G123" s="33"/>
      <c r="H123" s="33"/>
      <c r="I123" s="34"/>
      <c r="J123" s="37"/>
      <c r="K123" s="33"/>
      <c r="L123" s="38"/>
      <c r="M123" s="37"/>
      <c r="N123" s="33"/>
      <c r="O123" s="33"/>
      <c r="P123" s="35"/>
      <c r="Q123" s="35"/>
      <c r="R123" s="51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</row>
    <row r="124" spans="1:214" x14ac:dyDescent="0.25">
      <c r="A124" s="61"/>
      <c r="B124" s="26"/>
      <c r="C124" s="32"/>
      <c r="D124" s="35"/>
      <c r="E124" s="33"/>
      <c r="F124" s="33"/>
      <c r="G124" s="33"/>
      <c r="H124" s="33"/>
      <c r="I124" s="34"/>
      <c r="J124" s="37"/>
      <c r="K124" s="33"/>
      <c r="L124" s="38"/>
      <c r="M124" s="37"/>
      <c r="N124" s="33"/>
      <c r="O124" s="33"/>
      <c r="P124" s="35"/>
      <c r="Q124" s="35"/>
      <c r="R124" s="51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</row>
    <row r="125" spans="1:214" x14ac:dyDescent="0.25">
      <c r="A125" s="61"/>
      <c r="B125" s="26"/>
      <c r="C125" s="32"/>
      <c r="D125" s="35"/>
      <c r="E125" s="33"/>
      <c r="F125" s="33"/>
      <c r="G125" s="33"/>
      <c r="H125" s="33"/>
      <c r="I125" s="34"/>
      <c r="J125" s="37"/>
      <c r="K125" s="33"/>
      <c r="L125" s="38"/>
      <c r="M125" s="37"/>
      <c r="N125" s="33"/>
      <c r="O125" s="33"/>
      <c r="P125" s="35"/>
      <c r="Q125" s="35"/>
      <c r="R125" s="51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</row>
    <row r="126" spans="1:214" x14ac:dyDescent="0.25">
      <c r="A126" s="61"/>
      <c r="B126" s="26"/>
      <c r="C126" s="32"/>
      <c r="D126" s="35"/>
      <c r="E126" s="33"/>
      <c r="F126" s="33"/>
      <c r="G126" s="33"/>
      <c r="H126" s="33"/>
      <c r="I126" s="34"/>
      <c r="J126" s="37"/>
      <c r="K126" s="33"/>
      <c r="L126" s="38"/>
      <c r="M126" s="37"/>
      <c r="N126" s="33"/>
      <c r="O126" s="33"/>
      <c r="P126" s="35"/>
      <c r="Q126" s="35"/>
      <c r="R126" s="51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</row>
    <row r="127" spans="1:214" x14ac:dyDescent="0.25">
      <c r="A127" s="61"/>
      <c r="B127" s="26"/>
      <c r="C127" s="32"/>
      <c r="D127" s="35"/>
      <c r="E127" s="33"/>
      <c r="F127" s="33"/>
      <c r="G127" s="33"/>
      <c r="H127" s="33"/>
      <c r="I127" s="34"/>
      <c r="J127" s="37"/>
      <c r="K127" s="33"/>
      <c r="L127" s="38"/>
      <c r="M127" s="37"/>
      <c r="N127" s="33"/>
      <c r="O127" s="33"/>
      <c r="P127" s="35"/>
      <c r="Q127" s="35"/>
      <c r="R127" s="51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</row>
    <row r="128" spans="1:214" x14ac:dyDescent="0.25">
      <c r="A128" s="61"/>
      <c r="B128" s="26"/>
      <c r="C128" s="32"/>
      <c r="D128" s="35"/>
      <c r="E128" s="33"/>
      <c r="F128" s="33"/>
      <c r="G128" s="33"/>
      <c r="H128" s="33"/>
      <c r="I128" s="34"/>
      <c r="J128" s="37"/>
      <c r="K128" s="33"/>
      <c r="L128" s="38"/>
      <c r="M128" s="37"/>
      <c r="N128" s="33"/>
      <c r="O128" s="33"/>
      <c r="P128" s="35"/>
      <c r="Q128" s="35"/>
      <c r="R128" s="51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</row>
    <row r="129" spans="1:214" x14ac:dyDescent="0.25">
      <c r="A129" s="61"/>
      <c r="B129" s="26"/>
      <c r="C129" s="32"/>
      <c r="D129" s="35"/>
      <c r="E129" s="33"/>
      <c r="F129" s="33"/>
      <c r="G129" s="33"/>
      <c r="H129" s="33"/>
      <c r="I129" s="34"/>
      <c r="J129" s="37"/>
      <c r="K129" s="33"/>
      <c r="L129" s="38"/>
      <c r="M129" s="37"/>
      <c r="N129" s="33"/>
      <c r="O129" s="33"/>
      <c r="P129" s="35"/>
      <c r="Q129" s="35"/>
      <c r="R129" s="51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</row>
    <row r="130" spans="1:214" x14ac:dyDescent="0.25">
      <c r="A130" s="61"/>
      <c r="B130" s="26"/>
      <c r="C130" s="32"/>
      <c r="D130" s="35"/>
      <c r="E130" s="33"/>
      <c r="F130" s="33"/>
      <c r="G130" s="33"/>
      <c r="H130" s="33"/>
      <c r="I130" s="34"/>
      <c r="J130" s="37"/>
      <c r="K130" s="33"/>
      <c r="L130" s="38"/>
      <c r="M130" s="37"/>
      <c r="N130" s="33"/>
      <c r="O130" s="33"/>
      <c r="P130" s="35"/>
      <c r="Q130" s="35"/>
      <c r="R130" s="51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</row>
    <row r="131" spans="1:214" x14ac:dyDescent="0.25">
      <c r="A131" s="61"/>
      <c r="B131" s="26"/>
      <c r="C131" s="32"/>
      <c r="D131" s="35"/>
      <c r="E131" s="33"/>
      <c r="F131" s="33"/>
      <c r="G131" s="33"/>
      <c r="H131" s="33"/>
      <c r="I131" s="34"/>
      <c r="J131" s="37"/>
      <c r="K131" s="33"/>
      <c r="L131" s="38"/>
      <c r="M131" s="37"/>
      <c r="N131" s="33"/>
      <c r="O131" s="33"/>
      <c r="P131" s="35"/>
      <c r="Q131" s="35"/>
      <c r="R131" s="51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</row>
    <row r="132" spans="1:214" x14ac:dyDescent="0.25">
      <c r="A132" s="61"/>
      <c r="B132" s="26"/>
      <c r="C132" s="32"/>
      <c r="D132" s="35"/>
      <c r="E132" s="33"/>
      <c r="F132" s="33"/>
      <c r="G132" s="33"/>
      <c r="H132" s="33"/>
      <c r="I132" s="34"/>
      <c r="J132" s="37"/>
      <c r="K132" s="33"/>
      <c r="L132" s="38"/>
      <c r="M132" s="37"/>
      <c r="N132" s="33"/>
      <c r="O132" s="33"/>
      <c r="P132" s="35"/>
      <c r="Q132" s="35"/>
      <c r="R132" s="51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</row>
    <row r="133" spans="1:214" x14ac:dyDescent="0.25">
      <c r="A133" s="61"/>
      <c r="B133" s="26"/>
      <c r="C133" s="32"/>
      <c r="D133" s="35"/>
      <c r="E133" s="33"/>
      <c r="F133" s="33"/>
      <c r="G133" s="33"/>
      <c r="H133" s="33"/>
      <c r="I133" s="34"/>
      <c r="J133" s="37"/>
      <c r="K133" s="33"/>
      <c r="L133" s="38"/>
      <c r="M133" s="37"/>
      <c r="N133" s="33"/>
      <c r="O133" s="33"/>
      <c r="P133" s="35"/>
      <c r="Q133" s="35"/>
      <c r="R133" s="51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</row>
    <row r="134" spans="1:214" x14ac:dyDescent="0.25">
      <c r="A134" s="61"/>
      <c r="B134" s="26"/>
      <c r="C134" s="32"/>
      <c r="D134" s="35"/>
      <c r="E134" s="33"/>
      <c r="F134" s="33"/>
      <c r="G134" s="33"/>
      <c r="H134" s="33"/>
      <c r="I134" s="34"/>
      <c r="J134" s="37"/>
      <c r="K134" s="33"/>
      <c r="L134" s="38"/>
      <c r="M134" s="37"/>
      <c r="N134" s="33"/>
      <c r="O134" s="33"/>
      <c r="P134" s="35"/>
      <c r="Q134" s="35"/>
      <c r="R134" s="51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</row>
    <row r="135" spans="1:214" x14ac:dyDescent="0.25">
      <c r="A135" s="61"/>
      <c r="B135" s="26"/>
      <c r="C135" s="32"/>
      <c r="D135" s="35"/>
      <c r="E135" s="33"/>
      <c r="F135" s="33"/>
      <c r="G135" s="33"/>
      <c r="H135" s="33"/>
      <c r="I135" s="34"/>
      <c r="J135" s="37"/>
      <c r="K135" s="33"/>
      <c r="L135" s="38"/>
      <c r="M135" s="37"/>
      <c r="N135" s="33"/>
      <c r="O135" s="33"/>
      <c r="P135" s="35"/>
      <c r="Q135" s="35"/>
      <c r="R135" s="51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</row>
    <row r="136" spans="1:214" x14ac:dyDescent="0.25">
      <c r="A136" s="61"/>
      <c r="B136" s="26"/>
      <c r="C136" s="32"/>
      <c r="D136" s="35"/>
      <c r="E136" s="33"/>
      <c r="F136" s="33"/>
      <c r="G136" s="33"/>
      <c r="H136" s="33"/>
      <c r="I136" s="34"/>
      <c r="J136" s="37"/>
      <c r="K136" s="33"/>
      <c r="L136" s="38"/>
      <c r="M136" s="37"/>
      <c r="N136" s="33"/>
      <c r="O136" s="33"/>
      <c r="P136" s="35"/>
      <c r="Q136" s="35"/>
      <c r="R136" s="51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</row>
    <row r="137" spans="1:214" x14ac:dyDescent="0.25">
      <c r="A137" s="61"/>
      <c r="B137" s="26"/>
      <c r="C137" s="32"/>
      <c r="D137" s="35"/>
      <c r="E137" s="33"/>
      <c r="F137" s="33"/>
      <c r="G137" s="33"/>
      <c r="H137" s="33"/>
      <c r="I137" s="34"/>
      <c r="J137" s="37"/>
      <c r="K137" s="33"/>
      <c r="L137" s="38"/>
      <c r="M137" s="37"/>
      <c r="N137" s="33"/>
      <c r="O137" s="33"/>
      <c r="P137" s="35"/>
      <c r="Q137" s="35"/>
      <c r="R137" s="51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</row>
    <row r="138" spans="1:214" x14ac:dyDescent="0.25">
      <c r="A138" s="61"/>
      <c r="B138" s="26"/>
      <c r="C138" s="32"/>
      <c r="D138" s="35"/>
      <c r="E138" s="33"/>
      <c r="F138" s="33"/>
      <c r="G138" s="33"/>
      <c r="H138" s="33"/>
      <c r="I138" s="34"/>
      <c r="J138" s="37"/>
      <c r="K138" s="33"/>
      <c r="L138" s="38"/>
      <c r="M138" s="37"/>
      <c r="N138" s="33"/>
      <c r="O138" s="33"/>
      <c r="P138" s="35"/>
      <c r="Q138" s="35"/>
      <c r="R138" s="51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</row>
    <row r="139" spans="1:214" x14ac:dyDescent="0.25">
      <c r="A139" s="61"/>
      <c r="B139" s="26"/>
      <c r="C139" s="32"/>
      <c r="D139" s="35"/>
      <c r="E139" s="33"/>
      <c r="F139" s="33"/>
      <c r="G139" s="33"/>
      <c r="H139" s="33"/>
      <c r="I139" s="34"/>
      <c r="J139" s="37"/>
      <c r="K139" s="33"/>
      <c r="L139" s="38"/>
      <c r="M139" s="37"/>
      <c r="N139" s="33"/>
      <c r="O139" s="33"/>
      <c r="P139" s="35"/>
      <c r="Q139" s="35"/>
      <c r="R139" s="51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</row>
    <row r="140" spans="1:214" x14ac:dyDescent="0.25">
      <c r="A140" s="61"/>
      <c r="B140" s="26"/>
      <c r="C140" s="32"/>
      <c r="D140" s="35"/>
      <c r="E140" s="33"/>
      <c r="F140" s="33"/>
      <c r="G140" s="33"/>
      <c r="H140" s="33"/>
      <c r="I140" s="34"/>
      <c r="J140" s="37"/>
      <c r="K140" s="33"/>
      <c r="L140" s="38"/>
      <c r="M140" s="37"/>
      <c r="N140" s="33"/>
      <c r="O140" s="33"/>
      <c r="P140" s="35"/>
      <c r="Q140" s="35"/>
      <c r="R140" s="51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</row>
    <row r="141" spans="1:214" x14ac:dyDescent="0.25">
      <c r="A141" s="61"/>
      <c r="B141" s="26"/>
      <c r="C141" s="32"/>
      <c r="D141" s="35"/>
      <c r="E141" s="33"/>
      <c r="F141" s="33"/>
      <c r="G141" s="33"/>
      <c r="H141" s="33"/>
      <c r="I141" s="34"/>
      <c r="J141" s="37"/>
      <c r="K141" s="33"/>
      <c r="L141" s="38"/>
      <c r="M141" s="37"/>
      <c r="N141" s="33"/>
      <c r="O141" s="33"/>
      <c r="P141" s="35"/>
      <c r="Q141" s="35"/>
      <c r="R141" s="51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</row>
    <row r="142" spans="1:214" x14ac:dyDescent="0.25">
      <c r="A142" s="61"/>
      <c r="B142" s="26"/>
      <c r="C142" s="32"/>
      <c r="D142" s="35"/>
      <c r="E142" s="33"/>
      <c r="F142" s="33"/>
      <c r="G142" s="33"/>
      <c r="H142" s="33"/>
      <c r="I142" s="34"/>
      <c r="J142" s="37"/>
      <c r="K142" s="33"/>
      <c r="L142" s="38"/>
      <c r="M142" s="37"/>
      <c r="N142" s="33"/>
      <c r="O142" s="33"/>
      <c r="P142" s="35"/>
      <c r="Q142" s="35"/>
      <c r="R142" s="51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</row>
    <row r="143" spans="1:214" x14ac:dyDescent="0.25">
      <c r="A143" s="61"/>
      <c r="B143" s="26"/>
      <c r="C143" s="32"/>
      <c r="D143" s="35"/>
      <c r="E143" s="33"/>
      <c r="F143" s="33"/>
      <c r="G143" s="33"/>
      <c r="H143" s="33"/>
      <c r="I143" s="34"/>
      <c r="J143" s="37"/>
      <c r="K143" s="33"/>
      <c r="L143" s="38"/>
      <c r="M143" s="37"/>
      <c r="N143" s="33"/>
      <c r="O143" s="33"/>
      <c r="P143" s="35"/>
      <c r="Q143" s="35"/>
      <c r="R143" s="51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</row>
    <row r="144" spans="1:214" x14ac:dyDescent="0.25">
      <c r="A144" s="61"/>
      <c r="B144" s="26"/>
      <c r="C144" s="32"/>
      <c r="D144" s="35"/>
      <c r="E144" s="33"/>
      <c r="F144" s="33"/>
      <c r="G144" s="33"/>
      <c r="H144" s="33"/>
      <c r="I144" s="34"/>
      <c r="J144" s="37"/>
      <c r="K144" s="33"/>
      <c r="L144" s="38"/>
      <c r="M144" s="37"/>
      <c r="N144" s="33"/>
      <c r="O144" s="33"/>
      <c r="P144" s="35"/>
      <c r="Q144" s="35"/>
      <c r="R144" s="51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</row>
    <row r="145" spans="1:214" x14ac:dyDescent="0.25">
      <c r="A145" s="61"/>
      <c r="B145" s="26"/>
      <c r="C145" s="32"/>
      <c r="D145" s="35"/>
      <c r="E145" s="33"/>
      <c r="F145" s="33"/>
      <c r="G145" s="33"/>
      <c r="H145" s="33"/>
      <c r="I145" s="34"/>
      <c r="J145" s="37"/>
      <c r="K145" s="33"/>
      <c r="L145" s="38"/>
      <c r="M145" s="37"/>
      <c r="N145" s="33"/>
      <c r="O145" s="33"/>
      <c r="P145" s="35"/>
      <c r="Q145" s="35"/>
      <c r="R145" s="51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</row>
    <row r="146" spans="1:214" x14ac:dyDescent="0.25">
      <c r="A146" s="61"/>
      <c r="B146" s="26"/>
      <c r="C146" s="32"/>
      <c r="D146" s="35"/>
      <c r="E146" s="33"/>
      <c r="F146" s="33"/>
      <c r="G146" s="33"/>
      <c r="H146" s="33"/>
      <c r="I146" s="34"/>
      <c r="J146" s="37"/>
      <c r="K146" s="33"/>
      <c r="L146" s="38"/>
      <c r="M146" s="37"/>
      <c r="N146" s="33"/>
      <c r="O146" s="33"/>
      <c r="P146" s="35"/>
      <c r="Q146" s="35"/>
      <c r="R146" s="51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</row>
    <row r="147" spans="1:214" x14ac:dyDescent="0.25">
      <c r="A147" s="61"/>
      <c r="B147" s="26"/>
      <c r="C147" s="32"/>
      <c r="D147" s="35"/>
      <c r="E147" s="33"/>
      <c r="F147" s="33"/>
      <c r="G147" s="33"/>
      <c r="H147" s="33"/>
      <c r="I147" s="34"/>
      <c r="J147" s="37"/>
      <c r="K147" s="33"/>
      <c r="L147" s="38"/>
      <c r="M147" s="37"/>
      <c r="N147" s="33"/>
      <c r="O147" s="33"/>
      <c r="P147" s="35"/>
      <c r="Q147" s="35"/>
      <c r="R147" s="51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</row>
    <row r="148" spans="1:214" x14ac:dyDescent="0.25">
      <c r="A148" s="61"/>
      <c r="B148" s="26"/>
      <c r="C148" s="32"/>
      <c r="D148" s="35"/>
      <c r="E148" s="33"/>
      <c r="F148" s="33"/>
      <c r="G148" s="33"/>
      <c r="H148" s="33"/>
      <c r="I148" s="34"/>
      <c r="J148" s="37"/>
      <c r="K148" s="33"/>
      <c r="L148" s="38"/>
      <c r="M148" s="37"/>
      <c r="N148" s="33"/>
      <c r="O148" s="33"/>
      <c r="P148" s="35"/>
      <c r="Q148" s="35"/>
      <c r="R148" s="51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</row>
    <row r="149" spans="1:214" x14ac:dyDescent="0.25">
      <c r="A149" s="61"/>
      <c r="B149" s="26"/>
      <c r="C149" s="32"/>
      <c r="D149" s="35"/>
      <c r="E149" s="33"/>
      <c r="F149" s="33"/>
      <c r="G149" s="33"/>
      <c r="H149" s="33"/>
      <c r="I149" s="34"/>
      <c r="J149" s="37"/>
      <c r="K149" s="33"/>
      <c r="L149" s="38"/>
      <c r="M149" s="37"/>
      <c r="N149" s="33"/>
      <c r="O149" s="33"/>
      <c r="P149" s="35"/>
      <c r="Q149" s="35"/>
      <c r="R149" s="51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</row>
    <row r="150" spans="1:214" x14ac:dyDescent="0.25">
      <c r="A150" s="61"/>
      <c r="B150" s="26"/>
      <c r="C150" s="32"/>
      <c r="D150" s="35"/>
      <c r="E150" s="33"/>
      <c r="F150" s="33"/>
      <c r="G150" s="33"/>
      <c r="H150" s="33"/>
      <c r="I150" s="34"/>
      <c r="J150" s="37"/>
      <c r="K150" s="33"/>
      <c r="L150" s="38"/>
      <c r="M150" s="37"/>
      <c r="N150" s="33"/>
      <c r="O150" s="33"/>
      <c r="P150" s="35"/>
      <c r="Q150" s="35"/>
      <c r="R150" s="51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</row>
    <row r="151" spans="1:214" x14ac:dyDescent="0.25">
      <c r="A151" s="61"/>
      <c r="B151" s="26"/>
      <c r="C151" s="32"/>
      <c r="D151" s="35"/>
      <c r="E151" s="33"/>
      <c r="F151" s="33"/>
      <c r="G151" s="33"/>
      <c r="H151" s="33"/>
      <c r="I151" s="34"/>
      <c r="J151" s="37"/>
      <c r="K151" s="33"/>
      <c r="L151" s="38"/>
      <c r="M151" s="37"/>
      <c r="N151" s="33"/>
      <c r="O151" s="33"/>
      <c r="P151" s="35"/>
      <c r="Q151" s="35"/>
      <c r="R151" s="51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</row>
    <row r="152" spans="1:214" x14ac:dyDescent="0.25">
      <c r="A152" s="61"/>
      <c r="B152" s="26"/>
      <c r="C152" s="32"/>
      <c r="D152" s="35"/>
      <c r="E152" s="33"/>
      <c r="F152" s="33"/>
      <c r="G152" s="33"/>
      <c r="H152" s="33"/>
      <c r="I152" s="34"/>
      <c r="J152" s="37"/>
      <c r="K152" s="33"/>
      <c r="L152" s="38"/>
      <c r="M152" s="37"/>
      <c r="N152" s="33"/>
      <c r="O152" s="33"/>
      <c r="P152" s="35"/>
      <c r="Q152" s="35"/>
      <c r="R152" s="51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</row>
    <row r="153" spans="1:214" x14ac:dyDescent="0.25">
      <c r="A153" s="61"/>
      <c r="B153" s="26"/>
      <c r="C153" s="32"/>
      <c r="D153" s="35"/>
      <c r="E153" s="33"/>
      <c r="F153" s="33"/>
      <c r="G153" s="33"/>
      <c r="H153" s="33"/>
      <c r="I153" s="34"/>
      <c r="J153" s="37"/>
      <c r="K153" s="33"/>
      <c r="L153" s="38"/>
      <c r="M153" s="37"/>
      <c r="N153" s="33"/>
      <c r="O153" s="33"/>
      <c r="P153" s="35"/>
      <c r="Q153" s="35"/>
      <c r="R153" s="51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</row>
    <row r="154" spans="1:214" x14ac:dyDescent="0.25">
      <c r="A154" s="61"/>
      <c r="B154" s="26"/>
      <c r="C154" s="32"/>
      <c r="D154" s="35"/>
      <c r="E154" s="33"/>
      <c r="F154" s="33"/>
      <c r="G154" s="33"/>
      <c r="H154" s="33"/>
      <c r="I154" s="34"/>
      <c r="J154" s="37"/>
      <c r="K154" s="33"/>
      <c r="L154" s="38"/>
      <c r="M154" s="37"/>
      <c r="N154" s="33"/>
      <c r="O154" s="33"/>
      <c r="P154" s="35"/>
      <c r="Q154" s="35"/>
      <c r="R154" s="51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</row>
    <row r="155" spans="1:214" x14ac:dyDescent="0.25">
      <c r="A155" s="61"/>
      <c r="B155" s="26"/>
      <c r="C155" s="32"/>
      <c r="D155" s="35"/>
      <c r="E155" s="33"/>
      <c r="F155" s="33"/>
      <c r="G155" s="33"/>
      <c r="H155" s="33"/>
      <c r="I155" s="34"/>
      <c r="J155" s="37"/>
      <c r="K155" s="33"/>
      <c r="L155" s="38"/>
      <c r="M155" s="37"/>
      <c r="N155" s="33"/>
      <c r="O155" s="33"/>
      <c r="P155" s="35"/>
      <c r="Q155" s="35"/>
      <c r="R155" s="51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</row>
    <row r="156" spans="1:214" x14ac:dyDescent="0.25">
      <c r="A156" s="61"/>
      <c r="B156" s="26"/>
      <c r="C156" s="32"/>
      <c r="D156" s="35"/>
      <c r="E156" s="33"/>
      <c r="F156" s="33"/>
      <c r="G156" s="33"/>
      <c r="H156" s="33"/>
      <c r="I156" s="34"/>
      <c r="J156" s="37"/>
      <c r="K156" s="33"/>
      <c r="L156" s="38"/>
      <c r="M156" s="37"/>
      <c r="N156" s="33"/>
      <c r="O156" s="33"/>
      <c r="P156" s="35"/>
      <c r="Q156" s="35"/>
      <c r="R156" s="51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</row>
    <row r="157" spans="1:214" x14ac:dyDescent="0.25">
      <c r="A157" s="61"/>
      <c r="B157" s="26"/>
      <c r="C157" s="32"/>
      <c r="D157" s="35"/>
      <c r="E157" s="33"/>
      <c r="F157" s="33"/>
      <c r="G157" s="33"/>
      <c r="H157" s="33"/>
      <c r="I157" s="34"/>
      <c r="J157" s="37"/>
      <c r="K157" s="33"/>
      <c r="L157" s="38"/>
      <c r="M157" s="37"/>
      <c r="N157" s="33"/>
      <c r="O157" s="33"/>
      <c r="P157" s="35"/>
      <c r="Q157" s="35"/>
      <c r="R157" s="51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</row>
    <row r="158" spans="1:214" x14ac:dyDescent="0.25">
      <c r="A158" s="61"/>
      <c r="B158" s="26"/>
      <c r="C158" s="32"/>
      <c r="D158" s="35"/>
      <c r="E158" s="33"/>
      <c r="F158" s="33"/>
      <c r="G158" s="33"/>
      <c r="H158" s="33"/>
      <c r="I158" s="34"/>
      <c r="J158" s="37"/>
      <c r="K158" s="33"/>
      <c r="L158" s="38"/>
      <c r="M158" s="37"/>
      <c r="N158" s="33"/>
      <c r="O158" s="33"/>
      <c r="P158" s="35"/>
      <c r="Q158" s="35"/>
      <c r="R158" s="51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</row>
    <row r="159" spans="1:214" x14ac:dyDescent="0.25">
      <c r="A159" s="61"/>
      <c r="B159" s="26"/>
      <c r="C159" s="32"/>
      <c r="D159" s="35"/>
      <c r="E159" s="33"/>
      <c r="F159" s="33"/>
      <c r="G159" s="33"/>
      <c r="H159" s="33"/>
      <c r="I159" s="34"/>
      <c r="J159" s="37"/>
      <c r="K159" s="33"/>
      <c r="L159" s="38"/>
      <c r="M159" s="37"/>
      <c r="N159" s="33"/>
      <c r="O159" s="33"/>
      <c r="P159" s="35"/>
      <c r="Q159" s="35"/>
      <c r="R159" s="51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</row>
    <row r="160" spans="1:214" x14ac:dyDescent="0.25">
      <c r="A160" s="61"/>
      <c r="B160" s="26"/>
      <c r="C160" s="32"/>
      <c r="D160" s="35"/>
      <c r="E160" s="33"/>
      <c r="F160" s="33"/>
      <c r="G160" s="33"/>
      <c r="H160" s="33"/>
      <c r="I160" s="34"/>
      <c r="J160" s="37"/>
      <c r="K160" s="33"/>
      <c r="L160" s="38"/>
      <c r="M160" s="37"/>
      <c r="N160" s="33"/>
      <c r="O160" s="33"/>
      <c r="P160" s="35"/>
      <c r="Q160" s="35"/>
      <c r="R160" s="51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</row>
    <row r="161" spans="1:214" x14ac:dyDescent="0.25">
      <c r="A161" s="61"/>
      <c r="B161" s="26"/>
      <c r="C161" s="32"/>
      <c r="D161" s="35"/>
      <c r="E161" s="33"/>
      <c r="F161" s="33"/>
      <c r="G161" s="33"/>
      <c r="H161" s="33"/>
      <c r="I161" s="34"/>
      <c r="J161" s="37"/>
      <c r="K161" s="33"/>
      <c r="L161" s="38"/>
      <c r="M161" s="37"/>
      <c r="N161" s="33"/>
      <c r="O161" s="33"/>
      <c r="P161" s="35"/>
      <c r="Q161" s="35"/>
      <c r="R161" s="51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</row>
    <row r="162" spans="1:214" x14ac:dyDescent="0.25">
      <c r="A162" s="61"/>
      <c r="B162" s="26"/>
      <c r="C162" s="32"/>
      <c r="D162" s="35"/>
      <c r="E162" s="33"/>
      <c r="F162" s="33"/>
      <c r="G162" s="33"/>
      <c r="H162" s="33"/>
      <c r="I162" s="34"/>
      <c r="J162" s="37"/>
      <c r="K162" s="33"/>
      <c r="L162" s="38"/>
      <c r="M162" s="37"/>
      <c r="N162" s="33"/>
      <c r="O162" s="33"/>
      <c r="P162" s="35"/>
      <c r="Q162" s="35"/>
      <c r="R162" s="51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</row>
    <row r="163" spans="1:214" x14ac:dyDescent="0.25">
      <c r="A163" s="61"/>
      <c r="B163" s="26"/>
      <c r="C163" s="32"/>
      <c r="D163" s="35"/>
      <c r="E163" s="33"/>
      <c r="F163" s="33"/>
      <c r="G163" s="33"/>
      <c r="H163" s="33"/>
      <c r="I163" s="34"/>
      <c r="J163" s="37"/>
      <c r="K163" s="33"/>
      <c r="L163" s="38"/>
      <c r="M163" s="37"/>
      <c r="N163" s="33"/>
      <c r="O163" s="33"/>
      <c r="P163" s="35"/>
      <c r="Q163" s="35"/>
      <c r="R163" s="51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</row>
    <row r="164" spans="1:214" x14ac:dyDescent="0.25">
      <c r="A164" s="61"/>
      <c r="B164" s="26"/>
      <c r="C164" s="32"/>
      <c r="D164" s="35"/>
      <c r="E164" s="33"/>
      <c r="F164" s="33"/>
      <c r="G164" s="33"/>
      <c r="H164" s="33"/>
      <c r="I164" s="34"/>
      <c r="J164" s="37"/>
      <c r="K164" s="33"/>
      <c r="L164" s="38"/>
      <c r="M164" s="37"/>
      <c r="N164" s="33"/>
      <c r="O164" s="33"/>
      <c r="P164" s="35"/>
      <c r="Q164" s="35"/>
      <c r="R164" s="51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</row>
    <row r="165" spans="1:214" x14ac:dyDescent="0.25">
      <c r="A165" s="61"/>
      <c r="B165" s="26"/>
      <c r="C165" s="32"/>
      <c r="D165" s="35"/>
      <c r="E165" s="33"/>
      <c r="F165" s="33"/>
      <c r="G165" s="33"/>
      <c r="H165" s="33"/>
      <c r="I165" s="34"/>
      <c r="J165" s="37"/>
      <c r="K165" s="33"/>
      <c r="L165" s="38"/>
      <c r="M165" s="37"/>
      <c r="N165" s="33"/>
      <c r="O165" s="33"/>
      <c r="P165" s="35"/>
      <c r="Q165" s="35"/>
      <c r="R165" s="51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</row>
    <row r="166" spans="1:214" x14ac:dyDescent="0.25">
      <c r="A166" s="61"/>
      <c r="B166" s="26"/>
      <c r="C166" s="32"/>
      <c r="D166" s="35"/>
      <c r="E166" s="33"/>
      <c r="F166" s="33"/>
      <c r="G166" s="33"/>
      <c r="H166" s="33"/>
      <c r="I166" s="34"/>
      <c r="J166" s="37"/>
      <c r="K166" s="33"/>
      <c r="L166" s="38"/>
      <c r="M166" s="37"/>
      <c r="N166" s="33"/>
      <c r="O166" s="33"/>
      <c r="P166" s="35"/>
      <c r="Q166" s="35"/>
      <c r="R166" s="51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</row>
    <row r="167" spans="1:214" x14ac:dyDescent="0.25">
      <c r="A167" s="61"/>
      <c r="B167" s="26"/>
      <c r="C167" s="32"/>
      <c r="D167" s="35"/>
      <c r="E167" s="33"/>
      <c r="F167" s="33"/>
      <c r="G167" s="33"/>
      <c r="H167" s="33"/>
      <c r="I167" s="34"/>
      <c r="J167" s="37"/>
      <c r="K167" s="33"/>
      <c r="L167" s="38"/>
      <c r="M167" s="37"/>
      <c r="N167" s="33"/>
      <c r="O167" s="33"/>
      <c r="P167" s="35"/>
      <c r="Q167" s="35"/>
      <c r="R167" s="51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</row>
    <row r="168" spans="1:214" x14ac:dyDescent="0.25">
      <c r="A168" s="61"/>
      <c r="B168" s="26"/>
      <c r="C168" s="32"/>
      <c r="D168" s="35"/>
      <c r="E168" s="33"/>
      <c r="F168" s="33"/>
      <c r="G168" s="33"/>
      <c r="H168" s="33"/>
      <c r="I168" s="34"/>
      <c r="J168" s="37"/>
      <c r="K168" s="33"/>
      <c r="L168" s="38"/>
      <c r="M168" s="37"/>
      <c r="N168" s="33"/>
      <c r="O168" s="33"/>
      <c r="P168" s="35"/>
      <c r="Q168" s="35"/>
      <c r="R168" s="51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</row>
    <row r="169" spans="1:214" x14ac:dyDescent="0.25">
      <c r="A169" s="61"/>
      <c r="B169" s="26"/>
      <c r="C169" s="32"/>
      <c r="D169" s="35"/>
      <c r="E169" s="33"/>
      <c r="F169" s="33"/>
      <c r="G169" s="33"/>
      <c r="H169" s="33"/>
      <c r="I169" s="34"/>
      <c r="J169" s="37"/>
      <c r="K169" s="33"/>
      <c r="L169" s="38"/>
      <c r="M169" s="37"/>
      <c r="N169" s="33"/>
      <c r="O169" s="33"/>
      <c r="P169" s="35"/>
      <c r="Q169" s="35"/>
      <c r="R169" s="51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</row>
    <row r="170" spans="1:214" x14ac:dyDescent="0.25">
      <c r="A170" s="61"/>
      <c r="B170" s="26"/>
      <c r="C170" s="32"/>
      <c r="D170" s="35"/>
      <c r="E170" s="33"/>
      <c r="F170" s="33"/>
      <c r="G170" s="33"/>
      <c r="H170" s="33"/>
      <c r="I170" s="34"/>
      <c r="J170" s="37"/>
      <c r="K170" s="33"/>
      <c r="L170" s="38"/>
      <c r="M170" s="37"/>
      <c r="N170" s="33"/>
      <c r="O170" s="33"/>
      <c r="P170" s="35"/>
      <c r="Q170" s="35"/>
      <c r="R170" s="51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</row>
    <row r="171" spans="1:214" x14ac:dyDescent="0.25">
      <c r="A171" s="61"/>
      <c r="B171" s="26"/>
      <c r="C171" s="32"/>
      <c r="D171" s="35"/>
      <c r="E171" s="33"/>
      <c r="F171" s="33"/>
      <c r="G171" s="33"/>
      <c r="H171" s="33"/>
      <c r="I171" s="34"/>
      <c r="J171" s="37"/>
      <c r="K171" s="33"/>
      <c r="L171" s="38"/>
      <c r="M171" s="37"/>
      <c r="N171" s="33"/>
      <c r="O171" s="33"/>
      <c r="P171" s="35"/>
      <c r="Q171" s="35"/>
      <c r="R171" s="51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</row>
    <row r="172" spans="1:214" x14ac:dyDescent="0.25">
      <c r="A172" s="61"/>
      <c r="B172" s="26"/>
      <c r="C172" s="32"/>
      <c r="D172" s="35"/>
      <c r="E172" s="33"/>
      <c r="F172" s="33"/>
      <c r="G172" s="33"/>
      <c r="H172" s="33"/>
      <c r="I172" s="34"/>
      <c r="J172" s="37"/>
      <c r="K172" s="33"/>
      <c r="L172" s="38"/>
      <c r="M172" s="37"/>
      <c r="N172" s="33"/>
      <c r="O172" s="33"/>
      <c r="P172" s="35"/>
      <c r="Q172" s="35"/>
      <c r="R172" s="51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</row>
    <row r="173" spans="1:214" x14ac:dyDescent="0.25">
      <c r="A173" s="61"/>
      <c r="B173" s="26"/>
      <c r="C173" s="32"/>
      <c r="D173" s="35"/>
      <c r="E173" s="33"/>
      <c r="F173" s="33"/>
      <c r="G173" s="33"/>
      <c r="H173" s="33"/>
      <c r="I173" s="34"/>
      <c r="J173" s="37"/>
      <c r="K173" s="33"/>
      <c r="L173" s="38"/>
      <c r="M173" s="37"/>
      <c r="N173" s="33"/>
      <c r="O173" s="33"/>
      <c r="P173" s="35"/>
      <c r="Q173" s="35"/>
      <c r="R173" s="51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</row>
    <row r="174" spans="1:214" x14ac:dyDescent="0.25">
      <c r="A174" s="61"/>
      <c r="B174" s="26"/>
      <c r="C174" s="32"/>
      <c r="D174" s="35"/>
      <c r="E174" s="33"/>
      <c r="F174" s="33"/>
      <c r="G174" s="33"/>
      <c r="H174" s="33"/>
      <c r="I174" s="34"/>
      <c r="J174" s="37"/>
      <c r="K174" s="33"/>
      <c r="L174" s="38"/>
      <c r="M174" s="37"/>
      <c r="N174" s="33"/>
      <c r="O174" s="33"/>
      <c r="P174" s="35"/>
      <c r="Q174" s="35"/>
      <c r="R174" s="51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</row>
    <row r="175" spans="1:214" x14ac:dyDescent="0.25">
      <c r="A175" s="61"/>
      <c r="B175" s="26"/>
      <c r="C175" s="32"/>
      <c r="D175" s="35"/>
      <c r="E175" s="33"/>
      <c r="F175" s="33"/>
      <c r="G175" s="33"/>
      <c r="H175" s="33"/>
      <c r="I175" s="34"/>
      <c r="J175" s="37"/>
      <c r="K175" s="33"/>
      <c r="L175" s="38"/>
      <c r="M175" s="37"/>
      <c r="N175" s="33"/>
      <c r="O175" s="33"/>
      <c r="P175" s="35"/>
      <c r="Q175" s="35"/>
      <c r="R175" s="51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</row>
    <row r="176" spans="1:214" x14ac:dyDescent="0.25">
      <c r="A176" s="61"/>
      <c r="B176" s="26"/>
      <c r="C176" s="32"/>
      <c r="D176" s="35"/>
      <c r="E176" s="33"/>
      <c r="F176" s="33"/>
      <c r="G176" s="33"/>
      <c r="H176" s="33"/>
      <c r="I176" s="34"/>
      <c r="J176" s="37"/>
      <c r="K176" s="33"/>
      <c r="L176" s="38"/>
      <c r="M176" s="37"/>
      <c r="N176" s="33"/>
      <c r="O176" s="33"/>
      <c r="P176" s="35"/>
      <c r="Q176" s="35"/>
      <c r="R176" s="51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</row>
    <row r="177" spans="1:214" x14ac:dyDescent="0.25">
      <c r="A177" s="61"/>
      <c r="B177" s="26"/>
      <c r="C177" s="32"/>
      <c r="D177" s="35"/>
      <c r="E177" s="33"/>
      <c r="F177" s="33"/>
      <c r="G177" s="33"/>
      <c r="H177" s="33"/>
      <c r="I177" s="34"/>
      <c r="J177" s="37"/>
      <c r="K177" s="33"/>
      <c r="L177" s="38"/>
      <c r="M177" s="37"/>
      <c r="N177" s="33"/>
      <c r="O177" s="33"/>
      <c r="P177" s="35"/>
      <c r="Q177" s="35"/>
      <c r="R177" s="51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</row>
    <row r="178" spans="1:214" x14ac:dyDescent="0.25">
      <c r="A178" s="61"/>
      <c r="B178" s="26"/>
      <c r="C178" s="32"/>
      <c r="D178" s="35"/>
      <c r="E178" s="33"/>
      <c r="F178" s="33"/>
      <c r="G178" s="33"/>
      <c r="H178" s="33"/>
      <c r="I178" s="34"/>
      <c r="J178" s="37"/>
      <c r="K178" s="33"/>
      <c r="L178" s="38"/>
      <c r="M178" s="37"/>
      <c r="N178" s="33"/>
      <c r="O178" s="33"/>
      <c r="P178" s="35"/>
      <c r="Q178" s="35"/>
      <c r="R178" s="51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</row>
    <row r="179" spans="1:214" x14ac:dyDescent="0.25">
      <c r="A179" s="61"/>
      <c r="B179" s="26"/>
      <c r="C179" s="32"/>
      <c r="D179" s="35"/>
      <c r="E179" s="33"/>
      <c r="F179" s="33"/>
      <c r="G179" s="33"/>
      <c r="H179" s="33"/>
      <c r="I179" s="34"/>
      <c r="J179" s="37"/>
      <c r="K179" s="33"/>
      <c r="L179" s="38"/>
      <c r="M179" s="37"/>
      <c r="N179" s="33"/>
      <c r="O179" s="33"/>
      <c r="P179" s="35"/>
      <c r="Q179" s="35"/>
      <c r="R179" s="51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</row>
    <row r="180" spans="1:214" x14ac:dyDescent="0.25">
      <c r="A180" s="61"/>
      <c r="B180" s="26"/>
      <c r="C180" s="32"/>
      <c r="D180" s="35"/>
      <c r="E180" s="33"/>
      <c r="F180" s="33"/>
      <c r="G180" s="33"/>
      <c r="H180" s="33"/>
      <c r="I180" s="34"/>
      <c r="J180" s="37"/>
      <c r="K180" s="33"/>
      <c r="L180" s="38"/>
      <c r="M180" s="37"/>
      <c r="N180" s="33"/>
      <c r="O180" s="33"/>
      <c r="P180" s="35"/>
      <c r="Q180" s="35"/>
      <c r="R180" s="51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</row>
    <row r="181" spans="1:214" x14ac:dyDescent="0.25">
      <c r="A181" s="61"/>
      <c r="B181" s="26"/>
      <c r="C181" s="32"/>
      <c r="D181" s="35"/>
      <c r="E181" s="33"/>
      <c r="F181" s="33"/>
      <c r="G181" s="33"/>
      <c r="H181" s="33"/>
      <c r="I181" s="34"/>
      <c r="J181" s="37"/>
      <c r="K181" s="33"/>
      <c r="L181" s="38"/>
      <c r="M181" s="37"/>
      <c r="N181" s="33"/>
      <c r="O181" s="33"/>
      <c r="P181" s="35"/>
      <c r="Q181" s="35"/>
      <c r="R181" s="51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</row>
    <row r="182" spans="1:214" x14ac:dyDescent="0.25">
      <c r="A182" s="61"/>
      <c r="B182" s="26"/>
      <c r="C182" s="32"/>
      <c r="D182" s="35"/>
      <c r="E182" s="33"/>
      <c r="F182" s="33"/>
      <c r="G182" s="33"/>
      <c r="H182" s="33"/>
      <c r="I182" s="34"/>
      <c r="J182" s="37"/>
      <c r="K182" s="33"/>
      <c r="L182" s="38"/>
      <c r="M182" s="37"/>
      <c r="N182" s="33"/>
      <c r="O182" s="33"/>
      <c r="P182" s="35"/>
      <c r="Q182" s="35"/>
      <c r="R182" s="51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</row>
    <row r="183" spans="1:214" x14ac:dyDescent="0.25">
      <c r="A183" s="61"/>
      <c r="B183" s="26"/>
      <c r="C183" s="32"/>
      <c r="D183" s="35"/>
      <c r="E183" s="33"/>
      <c r="F183" s="33"/>
      <c r="G183" s="33"/>
      <c r="H183" s="33"/>
      <c r="I183" s="34"/>
      <c r="J183" s="37"/>
      <c r="K183" s="33"/>
      <c r="L183" s="38"/>
      <c r="M183" s="37"/>
      <c r="N183" s="33"/>
      <c r="O183" s="33"/>
      <c r="P183" s="35"/>
      <c r="Q183" s="35"/>
      <c r="R183" s="51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</row>
    <row r="184" spans="1:214" x14ac:dyDescent="0.25">
      <c r="A184" s="61"/>
      <c r="B184" s="26"/>
      <c r="C184" s="32"/>
      <c r="D184" s="35"/>
      <c r="E184" s="33"/>
      <c r="F184" s="33"/>
      <c r="G184" s="33"/>
      <c r="H184" s="33"/>
      <c r="I184" s="34"/>
      <c r="J184" s="37"/>
      <c r="K184" s="33"/>
      <c r="L184" s="38"/>
      <c r="M184" s="37"/>
      <c r="N184" s="33"/>
      <c r="O184" s="33"/>
      <c r="P184" s="35"/>
      <c r="Q184" s="35"/>
      <c r="R184" s="51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</row>
    <row r="185" spans="1:214" x14ac:dyDescent="0.25">
      <c r="A185" s="61"/>
      <c r="B185" s="26"/>
      <c r="C185" s="32"/>
      <c r="D185" s="35"/>
      <c r="E185" s="33"/>
      <c r="F185" s="33"/>
      <c r="G185" s="33"/>
      <c r="H185" s="33"/>
      <c r="I185" s="34"/>
      <c r="J185" s="37"/>
      <c r="K185" s="33"/>
      <c r="L185" s="38"/>
      <c r="M185" s="37"/>
      <c r="N185" s="33"/>
      <c r="O185" s="33"/>
      <c r="P185" s="35"/>
      <c r="Q185" s="35"/>
      <c r="R185" s="51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</row>
    <row r="186" spans="1:214" x14ac:dyDescent="0.25">
      <c r="A186" s="61"/>
      <c r="B186" s="26"/>
      <c r="C186" s="32"/>
      <c r="D186" s="35"/>
      <c r="E186" s="33"/>
      <c r="F186" s="33"/>
      <c r="G186" s="33"/>
      <c r="H186" s="33"/>
      <c r="I186" s="34"/>
      <c r="J186" s="37"/>
      <c r="K186" s="33"/>
      <c r="L186" s="38"/>
      <c r="M186" s="37"/>
      <c r="N186" s="33"/>
      <c r="O186" s="33"/>
      <c r="P186" s="35"/>
      <c r="Q186" s="35"/>
      <c r="R186" s="51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</row>
    <row r="187" spans="1:214" x14ac:dyDescent="0.25">
      <c r="A187" s="61"/>
      <c r="B187" s="26"/>
      <c r="C187" s="32"/>
      <c r="D187" s="35"/>
      <c r="E187" s="33"/>
      <c r="F187" s="33"/>
      <c r="G187" s="33"/>
      <c r="H187" s="33"/>
      <c r="I187" s="34"/>
      <c r="J187" s="37"/>
      <c r="K187" s="33"/>
      <c r="L187" s="38"/>
      <c r="M187" s="37"/>
      <c r="N187" s="33"/>
      <c r="O187" s="33"/>
      <c r="P187" s="35"/>
      <c r="Q187" s="35"/>
      <c r="R187" s="51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</row>
    <row r="188" spans="1:214" x14ac:dyDescent="0.25">
      <c r="A188" s="61"/>
      <c r="B188" s="26"/>
      <c r="C188" s="32"/>
      <c r="D188" s="35"/>
      <c r="E188" s="33"/>
      <c r="F188" s="33"/>
      <c r="G188" s="33"/>
      <c r="H188" s="33"/>
      <c r="I188" s="34"/>
      <c r="J188" s="37"/>
      <c r="K188" s="33"/>
      <c r="L188" s="38"/>
      <c r="M188" s="37"/>
      <c r="N188" s="33"/>
      <c r="O188" s="33"/>
      <c r="P188" s="35"/>
      <c r="Q188" s="35"/>
      <c r="R188" s="51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</row>
    <row r="189" spans="1:214" x14ac:dyDescent="0.25">
      <c r="A189" s="61"/>
      <c r="B189" s="26"/>
      <c r="C189" s="32"/>
      <c r="D189" s="35"/>
      <c r="E189" s="33"/>
      <c r="F189" s="33"/>
      <c r="G189" s="33"/>
      <c r="H189" s="33"/>
      <c r="I189" s="34"/>
      <c r="J189" s="37"/>
      <c r="K189" s="33"/>
      <c r="L189" s="38"/>
      <c r="M189" s="37"/>
      <c r="N189" s="33"/>
      <c r="O189" s="33"/>
      <c r="P189" s="35"/>
      <c r="Q189" s="35"/>
      <c r="R189" s="51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</row>
    <row r="190" spans="1:214" x14ac:dyDescent="0.25">
      <c r="A190" s="61"/>
      <c r="B190" s="26"/>
      <c r="C190" s="32"/>
      <c r="D190" s="35"/>
      <c r="E190" s="33"/>
      <c r="F190" s="33"/>
      <c r="G190" s="33"/>
      <c r="H190" s="33"/>
      <c r="I190" s="34"/>
      <c r="J190" s="37"/>
      <c r="K190" s="33"/>
      <c r="L190" s="38"/>
      <c r="M190" s="37"/>
      <c r="N190" s="33"/>
      <c r="O190" s="33"/>
      <c r="P190" s="35"/>
      <c r="Q190" s="35"/>
      <c r="R190" s="51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</row>
    <row r="191" spans="1:214" x14ac:dyDescent="0.25">
      <c r="A191" s="61"/>
      <c r="B191" s="26"/>
      <c r="C191" s="32"/>
      <c r="D191" s="35"/>
      <c r="E191" s="33"/>
      <c r="F191" s="33"/>
      <c r="G191" s="33"/>
      <c r="H191" s="33"/>
      <c r="I191" s="34"/>
      <c r="J191" s="37"/>
      <c r="K191" s="33"/>
      <c r="L191" s="38"/>
      <c r="M191" s="37"/>
      <c r="N191" s="33"/>
      <c r="O191" s="33"/>
      <c r="P191" s="35"/>
      <c r="Q191" s="35"/>
      <c r="R191" s="51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</row>
    <row r="192" spans="1:214" x14ac:dyDescent="0.25">
      <c r="A192" s="61"/>
      <c r="B192" s="26"/>
      <c r="C192" s="32"/>
      <c r="D192" s="35"/>
      <c r="E192" s="33"/>
      <c r="F192" s="33"/>
      <c r="G192" s="33"/>
      <c r="H192" s="33"/>
      <c r="I192" s="34"/>
      <c r="J192" s="37"/>
      <c r="K192" s="33"/>
      <c r="L192" s="38"/>
      <c r="M192" s="37"/>
      <c r="N192" s="33"/>
      <c r="O192" s="33"/>
      <c r="P192" s="35"/>
      <c r="Q192" s="35"/>
      <c r="R192" s="51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</row>
    <row r="193" spans="1:214" x14ac:dyDescent="0.25">
      <c r="A193" s="61"/>
      <c r="B193" s="26"/>
      <c r="C193" s="32"/>
      <c r="D193" s="35"/>
      <c r="E193" s="33"/>
      <c r="F193" s="33"/>
      <c r="G193" s="33"/>
      <c r="H193" s="33"/>
      <c r="I193" s="34"/>
      <c r="J193" s="37"/>
      <c r="K193" s="33"/>
      <c r="L193" s="38"/>
      <c r="M193" s="37"/>
      <c r="N193" s="33"/>
      <c r="O193" s="33"/>
      <c r="P193" s="35"/>
      <c r="Q193" s="35"/>
      <c r="R193" s="51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</row>
    <row r="194" spans="1:214" x14ac:dyDescent="0.25">
      <c r="A194" s="61"/>
      <c r="B194" s="26"/>
      <c r="C194" s="32"/>
      <c r="D194" s="35"/>
      <c r="E194" s="33"/>
      <c r="F194" s="33"/>
      <c r="G194" s="33"/>
      <c r="H194" s="33"/>
      <c r="I194" s="34"/>
      <c r="J194" s="37"/>
      <c r="K194" s="33"/>
      <c r="L194" s="38"/>
      <c r="M194" s="37"/>
      <c r="N194" s="33"/>
      <c r="O194" s="33"/>
      <c r="P194" s="35"/>
      <c r="Q194" s="35"/>
      <c r="R194" s="51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</row>
    <row r="195" spans="1:214" x14ac:dyDescent="0.25">
      <c r="A195" s="61"/>
      <c r="B195" s="26"/>
      <c r="C195" s="32"/>
      <c r="D195" s="35"/>
      <c r="E195" s="33"/>
      <c r="F195" s="33"/>
      <c r="G195" s="33"/>
      <c r="H195" s="33"/>
      <c r="I195" s="34"/>
      <c r="J195" s="37"/>
      <c r="K195" s="33"/>
      <c r="L195" s="38"/>
      <c r="M195" s="37"/>
      <c r="N195" s="33"/>
      <c r="O195" s="33"/>
      <c r="P195" s="35"/>
      <c r="Q195" s="35"/>
      <c r="R195" s="51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</row>
    <row r="196" spans="1:214" x14ac:dyDescent="0.25">
      <c r="A196" s="61"/>
      <c r="B196" s="26"/>
      <c r="C196" s="32"/>
      <c r="D196" s="35"/>
      <c r="E196" s="33"/>
      <c r="F196" s="33"/>
      <c r="G196" s="33"/>
      <c r="H196" s="33"/>
      <c r="I196" s="34"/>
      <c r="J196" s="37"/>
      <c r="K196" s="33"/>
      <c r="L196" s="38"/>
      <c r="M196" s="37"/>
      <c r="N196" s="33"/>
      <c r="O196" s="33"/>
      <c r="P196" s="35"/>
      <c r="Q196" s="35"/>
      <c r="R196" s="51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</row>
    <row r="197" spans="1:214" x14ac:dyDescent="0.25">
      <c r="A197" s="61"/>
      <c r="B197" s="26"/>
      <c r="C197" s="32"/>
      <c r="D197" s="35"/>
      <c r="E197" s="33"/>
      <c r="F197" s="33"/>
      <c r="G197" s="33"/>
      <c r="H197" s="33"/>
      <c r="I197" s="34"/>
      <c r="J197" s="37"/>
      <c r="K197" s="33"/>
      <c r="L197" s="38"/>
      <c r="M197" s="37"/>
      <c r="N197" s="33"/>
      <c r="O197" s="33"/>
      <c r="P197" s="35"/>
      <c r="Q197" s="35"/>
      <c r="R197" s="51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</row>
    <row r="198" spans="1:214" x14ac:dyDescent="0.25">
      <c r="A198" s="61"/>
      <c r="B198" s="26"/>
      <c r="C198" s="32"/>
      <c r="D198" s="35"/>
      <c r="E198" s="33"/>
      <c r="F198" s="33"/>
      <c r="G198" s="33"/>
      <c r="H198" s="33"/>
      <c r="I198" s="34"/>
      <c r="J198" s="37"/>
      <c r="K198" s="33"/>
      <c r="L198" s="38"/>
      <c r="M198" s="37"/>
      <c r="N198" s="33"/>
      <c r="O198" s="33"/>
      <c r="P198" s="35"/>
      <c r="Q198" s="35"/>
      <c r="R198" s="51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</row>
    <row r="199" spans="1:214" x14ac:dyDescent="0.25">
      <c r="A199" s="61"/>
      <c r="B199" s="26"/>
      <c r="C199" s="32"/>
      <c r="D199" s="35"/>
      <c r="E199" s="33"/>
      <c r="F199" s="33"/>
      <c r="G199" s="33"/>
      <c r="H199" s="33"/>
      <c r="I199" s="34"/>
      <c r="J199" s="37"/>
      <c r="K199" s="33"/>
      <c r="L199" s="38"/>
      <c r="M199" s="37"/>
      <c r="N199" s="33"/>
      <c r="O199" s="33"/>
      <c r="P199" s="35"/>
      <c r="Q199" s="35"/>
      <c r="R199" s="51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</row>
    <row r="200" spans="1:214" x14ac:dyDescent="0.25">
      <c r="A200" s="61"/>
      <c r="B200" s="26"/>
      <c r="C200" s="32"/>
      <c r="D200" s="35"/>
      <c r="E200" s="33"/>
      <c r="F200" s="33"/>
      <c r="G200" s="33"/>
      <c r="H200" s="33"/>
      <c r="I200" s="34"/>
      <c r="J200" s="37"/>
      <c r="K200" s="33"/>
      <c r="L200" s="38"/>
      <c r="M200" s="37"/>
      <c r="N200" s="33"/>
      <c r="O200" s="33"/>
      <c r="P200" s="35"/>
      <c r="Q200" s="35"/>
      <c r="R200" s="51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</row>
    <row r="201" spans="1:214" x14ac:dyDescent="0.25">
      <c r="A201" s="61"/>
      <c r="B201" s="26"/>
      <c r="C201" s="32"/>
      <c r="D201" s="35"/>
      <c r="E201" s="33"/>
      <c r="F201" s="33"/>
      <c r="G201" s="33"/>
      <c r="H201" s="33"/>
      <c r="I201" s="34"/>
      <c r="J201" s="37"/>
      <c r="K201" s="33"/>
      <c r="L201" s="38"/>
      <c r="M201" s="37"/>
      <c r="N201" s="33"/>
      <c r="O201" s="33"/>
      <c r="P201" s="35"/>
      <c r="Q201" s="35"/>
      <c r="R201" s="51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</row>
    <row r="202" spans="1:214" x14ac:dyDescent="0.25">
      <c r="A202" s="61"/>
      <c r="B202" s="26"/>
      <c r="C202" s="32"/>
      <c r="D202" s="35"/>
      <c r="E202" s="33"/>
      <c r="F202" s="33"/>
      <c r="G202" s="33"/>
      <c r="H202" s="33"/>
      <c r="I202" s="34"/>
      <c r="J202" s="37"/>
      <c r="K202" s="33"/>
      <c r="L202" s="38"/>
      <c r="M202" s="37"/>
      <c r="N202" s="33"/>
      <c r="O202" s="33"/>
      <c r="P202" s="35"/>
      <c r="Q202" s="35"/>
      <c r="R202" s="51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</row>
    <row r="203" spans="1:214" x14ac:dyDescent="0.25">
      <c r="A203" s="61"/>
      <c r="B203" s="26"/>
      <c r="C203" s="32"/>
      <c r="D203" s="35"/>
      <c r="E203" s="33"/>
      <c r="F203" s="33"/>
      <c r="G203" s="33"/>
      <c r="H203" s="33"/>
      <c r="I203" s="34"/>
      <c r="J203" s="37"/>
      <c r="K203" s="33"/>
      <c r="L203" s="38"/>
      <c r="M203" s="37"/>
      <c r="N203" s="33"/>
      <c r="O203" s="33"/>
      <c r="P203" s="35"/>
      <c r="Q203" s="35"/>
      <c r="R203" s="51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</row>
    <row r="204" spans="1:214" x14ac:dyDescent="0.25">
      <c r="A204" s="61"/>
      <c r="B204" s="26"/>
      <c r="C204" s="32"/>
      <c r="D204" s="35"/>
      <c r="E204" s="33"/>
      <c r="F204" s="33"/>
      <c r="G204" s="33"/>
      <c r="H204" s="33"/>
      <c r="I204" s="34"/>
      <c r="J204" s="37"/>
      <c r="K204" s="33"/>
      <c r="L204" s="38"/>
      <c r="M204" s="37"/>
      <c r="N204" s="33"/>
      <c r="O204" s="33"/>
      <c r="P204" s="35"/>
      <c r="Q204" s="35"/>
      <c r="R204" s="51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</row>
    <row r="205" spans="1:214" x14ac:dyDescent="0.25">
      <c r="A205" s="61"/>
      <c r="B205" s="26"/>
      <c r="C205" s="32"/>
      <c r="D205" s="35"/>
      <c r="E205" s="33"/>
      <c r="F205" s="33"/>
      <c r="G205" s="33"/>
      <c r="H205" s="33"/>
      <c r="I205" s="34"/>
      <c r="J205" s="37"/>
      <c r="K205" s="33"/>
      <c r="L205" s="38"/>
      <c r="M205" s="37"/>
      <c r="N205" s="33"/>
      <c r="O205" s="33"/>
      <c r="P205" s="35"/>
      <c r="Q205" s="35"/>
      <c r="R205" s="51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</row>
    <row r="206" spans="1:214" x14ac:dyDescent="0.25">
      <c r="A206" s="61"/>
      <c r="B206" s="26"/>
      <c r="C206" s="32"/>
      <c r="D206" s="35"/>
      <c r="E206" s="33"/>
      <c r="F206" s="33"/>
      <c r="G206" s="33"/>
      <c r="H206" s="33"/>
      <c r="I206" s="34"/>
      <c r="J206" s="37"/>
      <c r="K206" s="33"/>
      <c r="L206" s="38"/>
      <c r="M206" s="37"/>
      <c r="N206" s="33"/>
      <c r="O206" s="33"/>
      <c r="P206" s="35"/>
      <c r="Q206" s="35"/>
      <c r="R206" s="51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</row>
    <row r="207" spans="1:214" x14ac:dyDescent="0.25">
      <c r="A207" s="61"/>
      <c r="B207" s="26"/>
      <c r="C207" s="32"/>
      <c r="D207" s="35"/>
      <c r="E207" s="33"/>
      <c r="F207" s="33"/>
      <c r="G207" s="33"/>
      <c r="H207" s="33"/>
      <c r="I207" s="34"/>
      <c r="J207" s="37"/>
      <c r="K207" s="33"/>
      <c r="L207" s="38"/>
      <c r="M207" s="37"/>
      <c r="N207" s="33"/>
      <c r="O207" s="33"/>
      <c r="P207" s="35"/>
      <c r="Q207" s="35"/>
      <c r="R207" s="51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</row>
    <row r="208" spans="1:214" x14ac:dyDescent="0.25">
      <c r="A208" s="61"/>
      <c r="B208" s="26"/>
      <c r="C208" s="32"/>
      <c r="D208" s="35"/>
      <c r="E208" s="33"/>
      <c r="F208" s="33"/>
      <c r="G208" s="33"/>
      <c r="H208" s="33"/>
      <c r="I208" s="34"/>
      <c r="J208" s="37"/>
      <c r="K208" s="33"/>
      <c r="L208" s="38"/>
      <c r="M208" s="37"/>
      <c r="N208" s="33"/>
      <c r="O208" s="33"/>
      <c r="P208" s="35"/>
      <c r="Q208" s="35"/>
      <c r="R208" s="51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</row>
    <row r="209" spans="1:214" x14ac:dyDescent="0.25">
      <c r="A209" s="61"/>
      <c r="B209" s="26"/>
      <c r="C209" s="32"/>
      <c r="D209" s="35"/>
      <c r="E209" s="33"/>
      <c r="F209" s="33"/>
      <c r="G209" s="33"/>
      <c r="H209" s="33"/>
      <c r="I209" s="34"/>
      <c r="J209" s="37"/>
      <c r="K209" s="33"/>
      <c r="L209" s="38"/>
      <c r="M209" s="37"/>
      <c r="N209" s="33"/>
      <c r="O209" s="33"/>
      <c r="P209" s="35"/>
      <c r="Q209" s="35"/>
      <c r="R209" s="51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</row>
    <row r="210" spans="1:214" x14ac:dyDescent="0.25">
      <c r="A210" s="61"/>
      <c r="B210" s="26"/>
      <c r="C210" s="32"/>
      <c r="D210" s="35"/>
      <c r="E210" s="33"/>
      <c r="F210" s="33"/>
      <c r="G210" s="33"/>
      <c r="H210" s="33"/>
      <c r="I210" s="34"/>
      <c r="J210" s="37"/>
      <c r="K210" s="33"/>
      <c r="L210" s="38"/>
      <c r="M210" s="37"/>
      <c r="N210" s="33"/>
      <c r="O210" s="33"/>
      <c r="P210" s="35"/>
      <c r="Q210" s="35"/>
      <c r="R210" s="51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</row>
    <row r="211" spans="1:214" x14ac:dyDescent="0.25">
      <c r="A211" s="61"/>
      <c r="B211" s="26"/>
      <c r="C211" s="32"/>
      <c r="D211" s="35"/>
      <c r="E211" s="33"/>
      <c r="F211" s="33"/>
      <c r="G211" s="33"/>
      <c r="H211" s="33"/>
      <c r="I211" s="34"/>
      <c r="J211" s="37"/>
      <c r="K211" s="33"/>
      <c r="L211" s="38"/>
      <c r="M211" s="37"/>
      <c r="N211" s="33"/>
      <c r="O211" s="33"/>
      <c r="P211" s="35"/>
      <c r="Q211" s="35"/>
      <c r="R211" s="51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</row>
    <row r="212" spans="1:214" x14ac:dyDescent="0.25">
      <c r="A212" s="61"/>
      <c r="B212" s="26"/>
      <c r="C212" s="32"/>
      <c r="D212" s="35"/>
      <c r="E212" s="33"/>
      <c r="F212" s="33"/>
      <c r="G212" s="33"/>
      <c r="H212" s="33"/>
      <c r="I212" s="34"/>
      <c r="J212" s="37"/>
      <c r="K212" s="33"/>
      <c r="L212" s="38"/>
      <c r="M212" s="37"/>
      <c r="N212" s="33"/>
      <c r="O212" s="33"/>
      <c r="P212" s="35"/>
      <c r="Q212" s="35"/>
      <c r="R212" s="51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</row>
    <row r="213" spans="1:214" x14ac:dyDescent="0.25">
      <c r="A213" s="61"/>
      <c r="B213" s="26"/>
      <c r="C213" s="32"/>
      <c r="D213" s="35"/>
      <c r="E213" s="33"/>
      <c r="F213" s="33"/>
      <c r="G213" s="33"/>
      <c r="H213" s="33"/>
      <c r="I213" s="34"/>
      <c r="J213" s="37"/>
      <c r="K213" s="33"/>
      <c r="L213" s="38"/>
      <c r="M213" s="37"/>
      <c r="N213" s="33"/>
      <c r="O213" s="33"/>
      <c r="P213" s="35"/>
      <c r="Q213" s="35"/>
      <c r="R213" s="51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</row>
    <row r="214" spans="1:214" x14ac:dyDescent="0.25">
      <c r="A214" s="61"/>
      <c r="B214" s="26"/>
      <c r="C214" s="32"/>
      <c r="D214" s="35"/>
      <c r="E214" s="33"/>
      <c r="F214" s="33"/>
      <c r="G214" s="33"/>
      <c r="H214" s="33"/>
      <c r="I214" s="34"/>
      <c r="J214" s="37"/>
      <c r="K214" s="33"/>
      <c r="L214" s="38"/>
      <c r="M214" s="37"/>
      <c r="N214" s="33"/>
      <c r="O214" s="33"/>
      <c r="P214" s="35"/>
      <c r="Q214" s="35"/>
      <c r="R214" s="51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</row>
    <row r="215" spans="1:214" x14ac:dyDescent="0.25">
      <c r="A215" s="61"/>
      <c r="B215" s="26"/>
      <c r="C215" s="32"/>
      <c r="D215" s="35"/>
      <c r="E215" s="33"/>
      <c r="F215" s="33"/>
      <c r="G215" s="33"/>
      <c r="H215" s="33"/>
      <c r="I215" s="34"/>
      <c r="J215" s="37"/>
      <c r="K215" s="33"/>
      <c r="L215" s="38"/>
      <c r="M215" s="37"/>
      <c r="N215" s="33"/>
      <c r="O215" s="33"/>
      <c r="P215" s="35"/>
      <c r="Q215" s="35"/>
      <c r="R215" s="51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</row>
    <row r="216" spans="1:214" x14ac:dyDescent="0.25">
      <c r="A216" s="61"/>
      <c r="B216" s="26"/>
      <c r="C216" s="32"/>
      <c r="D216" s="35"/>
      <c r="E216" s="33"/>
      <c r="F216" s="33"/>
      <c r="G216" s="33"/>
      <c r="H216" s="33"/>
      <c r="I216" s="34"/>
      <c r="J216" s="37"/>
      <c r="K216" s="33"/>
      <c r="L216" s="38"/>
      <c r="M216" s="37"/>
      <c r="N216" s="33"/>
      <c r="O216" s="33"/>
      <c r="P216" s="35"/>
      <c r="Q216" s="35"/>
      <c r="R216" s="51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</row>
    <row r="217" spans="1:214" x14ac:dyDescent="0.25">
      <c r="A217" s="61"/>
      <c r="B217" s="26"/>
      <c r="C217" s="32"/>
      <c r="D217" s="35"/>
      <c r="E217" s="33"/>
      <c r="F217" s="33"/>
      <c r="G217" s="33"/>
      <c r="H217" s="33"/>
      <c r="I217" s="34"/>
      <c r="J217" s="37"/>
      <c r="K217" s="33"/>
      <c r="L217" s="38"/>
      <c r="M217" s="37"/>
      <c r="N217" s="33"/>
      <c r="O217" s="33"/>
      <c r="P217" s="35"/>
      <c r="Q217" s="35"/>
      <c r="R217" s="51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</row>
    <row r="218" spans="1:214" x14ac:dyDescent="0.25">
      <c r="A218" s="61"/>
      <c r="B218" s="26"/>
      <c r="C218" s="32"/>
      <c r="D218" s="35"/>
      <c r="E218" s="33"/>
      <c r="F218" s="33"/>
      <c r="G218" s="33"/>
      <c r="H218" s="33"/>
      <c r="I218" s="34"/>
      <c r="J218" s="37"/>
      <c r="K218" s="33"/>
      <c r="L218" s="38"/>
      <c r="M218" s="37"/>
      <c r="N218" s="33"/>
      <c r="O218" s="33"/>
      <c r="P218" s="35"/>
      <c r="Q218" s="35"/>
      <c r="R218" s="51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</row>
    <row r="219" spans="1:214" x14ac:dyDescent="0.25">
      <c r="A219" s="61"/>
      <c r="B219" s="26"/>
      <c r="C219" s="32"/>
      <c r="D219" s="35"/>
      <c r="E219" s="33"/>
      <c r="F219" s="33"/>
      <c r="G219" s="33"/>
      <c r="H219" s="33"/>
      <c r="I219" s="34"/>
      <c r="J219" s="37"/>
      <c r="K219" s="33"/>
      <c r="L219" s="38"/>
      <c r="M219" s="37"/>
      <c r="N219" s="33"/>
      <c r="O219" s="33"/>
      <c r="P219" s="35"/>
      <c r="Q219" s="35"/>
      <c r="R219" s="51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</row>
    <row r="220" spans="1:214" x14ac:dyDescent="0.25">
      <c r="A220" s="61"/>
      <c r="B220" s="26"/>
      <c r="C220" s="32"/>
      <c r="D220" s="35"/>
      <c r="E220" s="33"/>
      <c r="F220" s="33"/>
      <c r="G220" s="33"/>
      <c r="H220" s="33"/>
      <c r="I220" s="34"/>
      <c r="J220" s="37"/>
      <c r="K220" s="33"/>
      <c r="L220" s="38"/>
      <c r="M220" s="37"/>
      <c r="N220" s="33"/>
      <c r="O220" s="33"/>
      <c r="P220" s="35"/>
      <c r="Q220" s="35"/>
      <c r="R220" s="51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</row>
    <row r="221" spans="1:214" x14ac:dyDescent="0.25">
      <c r="A221" s="61"/>
      <c r="B221" s="26"/>
      <c r="C221" s="32"/>
      <c r="D221" s="35"/>
      <c r="E221" s="33"/>
      <c r="F221" s="33"/>
      <c r="G221" s="33"/>
      <c r="H221" s="33"/>
      <c r="I221" s="34"/>
      <c r="J221" s="37"/>
      <c r="K221" s="33"/>
      <c r="L221" s="38"/>
      <c r="M221" s="37"/>
      <c r="N221" s="33"/>
      <c r="O221" s="33"/>
      <c r="P221" s="35"/>
      <c r="Q221" s="35"/>
      <c r="R221" s="51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</row>
    <row r="222" spans="1:214" x14ac:dyDescent="0.25">
      <c r="A222" s="61"/>
      <c r="B222" s="26"/>
      <c r="C222" s="32"/>
      <c r="D222" s="35"/>
      <c r="E222" s="33"/>
      <c r="F222" s="33"/>
      <c r="G222" s="33"/>
      <c r="H222" s="33"/>
      <c r="I222" s="34"/>
      <c r="J222" s="37"/>
      <c r="K222" s="33"/>
      <c r="L222" s="38"/>
      <c r="M222" s="37"/>
      <c r="N222" s="33"/>
      <c r="O222" s="33"/>
      <c r="P222" s="35"/>
      <c r="Q222" s="35"/>
      <c r="R222" s="51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</row>
    <row r="223" spans="1:214" x14ac:dyDescent="0.25">
      <c r="A223" s="61"/>
      <c r="B223" s="26"/>
      <c r="C223" s="32"/>
      <c r="D223" s="35"/>
      <c r="E223" s="33"/>
      <c r="F223" s="33"/>
      <c r="G223" s="33"/>
      <c r="H223" s="33"/>
      <c r="I223" s="34"/>
      <c r="J223" s="37"/>
      <c r="K223" s="33"/>
      <c r="L223" s="38"/>
      <c r="M223" s="37"/>
      <c r="N223" s="33"/>
      <c r="O223" s="33"/>
      <c r="P223" s="35"/>
      <c r="Q223" s="35"/>
      <c r="R223" s="51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</row>
    <row r="224" spans="1:214" x14ac:dyDescent="0.25">
      <c r="A224" s="61"/>
      <c r="B224" s="26"/>
      <c r="C224" s="32"/>
      <c r="D224" s="35"/>
      <c r="E224" s="33"/>
      <c r="F224" s="33"/>
      <c r="G224" s="33"/>
      <c r="H224" s="33"/>
      <c r="I224" s="34"/>
      <c r="J224" s="37"/>
      <c r="K224" s="33"/>
      <c r="L224" s="38"/>
      <c r="M224" s="37"/>
      <c r="N224" s="33"/>
      <c r="O224" s="33"/>
      <c r="P224" s="35"/>
      <c r="Q224" s="35"/>
      <c r="R224" s="51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</row>
    <row r="225" spans="1:214" x14ac:dyDescent="0.25">
      <c r="A225" s="61"/>
      <c r="B225" s="26"/>
      <c r="C225" s="32"/>
      <c r="D225" s="35"/>
      <c r="E225" s="33"/>
      <c r="F225" s="33"/>
      <c r="G225" s="33"/>
      <c r="H225" s="33"/>
      <c r="I225" s="34"/>
      <c r="J225" s="37"/>
      <c r="K225" s="33"/>
      <c r="L225" s="38"/>
      <c r="M225" s="37"/>
      <c r="N225" s="33"/>
      <c r="O225" s="33"/>
      <c r="P225" s="35"/>
      <c r="Q225" s="35"/>
      <c r="R225" s="51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</row>
    <row r="226" spans="1:214" x14ac:dyDescent="0.25">
      <c r="A226" s="61"/>
      <c r="B226" s="26"/>
      <c r="C226" s="32"/>
      <c r="D226" s="35"/>
      <c r="E226" s="33"/>
      <c r="F226" s="33"/>
      <c r="G226" s="33"/>
      <c r="H226" s="33"/>
      <c r="I226" s="34"/>
      <c r="J226" s="37"/>
      <c r="K226" s="33"/>
      <c r="L226" s="38"/>
      <c r="M226" s="37"/>
      <c r="N226" s="33"/>
      <c r="O226" s="33"/>
      <c r="P226" s="35"/>
      <c r="Q226" s="35"/>
      <c r="R226" s="51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</row>
    <row r="227" spans="1:214" x14ac:dyDescent="0.25">
      <c r="A227" s="61"/>
      <c r="B227" s="26"/>
      <c r="C227" s="32"/>
      <c r="D227" s="35"/>
      <c r="E227" s="33"/>
      <c r="F227" s="33"/>
      <c r="G227" s="33"/>
      <c r="H227" s="33"/>
      <c r="I227" s="34"/>
      <c r="J227" s="37"/>
      <c r="K227" s="33"/>
      <c r="L227" s="38"/>
      <c r="M227" s="37"/>
      <c r="N227" s="33"/>
      <c r="O227" s="33"/>
      <c r="P227" s="35"/>
      <c r="Q227" s="35"/>
      <c r="R227" s="51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</row>
    <row r="228" spans="1:214" x14ac:dyDescent="0.25">
      <c r="A228" s="61"/>
      <c r="B228" s="26"/>
      <c r="C228" s="32"/>
      <c r="D228" s="35"/>
      <c r="E228" s="33"/>
      <c r="F228" s="33"/>
      <c r="G228" s="33"/>
      <c r="H228" s="33"/>
      <c r="I228" s="34"/>
      <c r="J228" s="37"/>
      <c r="K228" s="33"/>
      <c r="L228" s="38"/>
      <c r="M228" s="37"/>
      <c r="N228" s="33"/>
      <c r="O228" s="33"/>
      <c r="P228" s="35"/>
      <c r="Q228" s="35"/>
      <c r="R228" s="51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</row>
    <row r="229" spans="1:214" x14ac:dyDescent="0.25">
      <c r="A229" s="61"/>
      <c r="B229" s="26"/>
      <c r="C229" s="32"/>
      <c r="D229" s="35"/>
      <c r="E229" s="33"/>
      <c r="F229" s="33"/>
      <c r="G229" s="33"/>
      <c r="H229" s="33"/>
      <c r="I229" s="34"/>
      <c r="J229" s="37"/>
      <c r="K229" s="33"/>
      <c r="L229" s="38"/>
      <c r="M229" s="37"/>
      <c r="N229" s="33"/>
      <c r="O229" s="33"/>
      <c r="P229" s="35"/>
      <c r="Q229" s="35"/>
      <c r="R229" s="51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</row>
    <row r="230" spans="1:214" x14ac:dyDescent="0.25">
      <c r="A230" s="61"/>
      <c r="B230" s="26"/>
      <c r="C230" s="32"/>
      <c r="D230" s="35"/>
      <c r="E230" s="33"/>
      <c r="F230" s="33"/>
      <c r="G230" s="33"/>
      <c r="H230" s="33"/>
      <c r="I230" s="34"/>
      <c r="J230" s="37"/>
      <c r="K230" s="33"/>
      <c r="L230" s="38"/>
      <c r="M230" s="37"/>
      <c r="N230" s="33"/>
      <c r="O230" s="33"/>
      <c r="P230" s="35"/>
      <c r="Q230" s="35"/>
      <c r="R230" s="51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</row>
    <row r="231" spans="1:214" x14ac:dyDescent="0.25">
      <c r="A231" s="61"/>
      <c r="B231" s="26"/>
      <c r="C231" s="32"/>
      <c r="D231" s="35"/>
      <c r="E231" s="33"/>
      <c r="F231" s="33"/>
      <c r="G231" s="33"/>
      <c r="H231" s="33"/>
      <c r="I231" s="34"/>
      <c r="J231" s="37"/>
      <c r="K231" s="33"/>
      <c r="L231" s="38"/>
      <c r="M231" s="37"/>
      <c r="N231" s="33"/>
      <c r="O231" s="33"/>
      <c r="P231" s="35"/>
      <c r="Q231" s="35"/>
      <c r="R231" s="51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</row>
    <row r="232" spans="1:214" x14ac:dyDescent="0.25">
      <c r="A232" s="61"/>
      <c r="B232" s="26"/>
      <c r="C232" s="32"/>
      <c r="D232" s="35"/>
      <c r="E232" s="33"/>
      <c r="F232" s="33"/>
      <c r="G232" s="33"/>
      <c r="H232" s="33"/>
      <c r="I232" s="34"/>
      <c r="J232" s="37"/>
      <c r="K232" s="33"/>
      <c r="L232" s="38"/>
      <c r="M232" s="37"/>
      <c r="N232" s="33"/>
      <c r="O232" s="33"/>
      <c r="P232" s="35"/>
      <c r="Q232" s="35"/>
      <c r="R232" s="51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</row>
    <row r="233" spans="1:214" x14ac:dyDescent="0.25">
      <c r="A233" s="61"/>
      <c r="B233" s="26"/>
      <c r="C233" s="32"/>
      <c r="D233" s="35"/>
      <c r="E233" s="33"/>
      <c r="F233" s="33"/>
      <c r="G233" s="33"/>
      <c r="H233" s="33"/>
      <c r="I233" s="34"/>
      <c r="J233" s="37"/>
      <c r="K233" s="33"/>
      <c r="L233" s="38"/>
      <c r="M233" s="37"/>
      <c r="N233" s="33"/>
      <c r="O233" s="33"/>
      <c r="P233" s="35"/>
      <c r="Q233" s="35"/>
      <c r="R233" s="51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</row>
    <row r="234" spans="1:214" x14ac:dyDescent="0.25">
      <c r="A234" s="61"/>
      <c r="B234" s="26"/>
      <c r="C234" s="32"/>
      <c r="D234" s="35"/>
      <c r="E234" s="33"/>
      <c r="F234" s="33"/>
      <c r="G234" s="33"/>
      <c r="H234" s="33"/>
      <c r="I234" s="34"/>
      <c r="J234" s="37"/>
      <c r="K234" s="33"/>
      <c r="L234" s="38"/>
      <c r="M234" s="37"/>
      <c r="N234" s="33"/>
      <c r="O234" s="33"/>
      <c r="P234" s="35"/>
      <c r="Q234" s="35"/>
      <c r="R234" s="51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</row>
    <row r="235" spans="1:214" x14ac:dyDescent="0.25">
      <c r="A235" s="61"/>
      <c r="B235" s="26"/>
      <c r="C235" s="32"/>
      <c r="D235" s="35"/>
      <c r="E235" s="33"/>
      <c r="F235" s="33"/>
      <c r="G235" s="33"/>
      <c r="H235" s="33"/>
      <c r="I235" s="34"/>
      <c r="J235" s="37"/>
      <c r="K235" s="33"/>
      <c r="L235" s="38"/>
      <c r="M235" s="37"/>
      <c r="N235" s="33"/>
      <c r="O235" s="33"/>
      <c r="P235" s="35"/>
      <c r="Q235" s="35"/>
      <c r="R235" s="51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</row>
    <row r="236" spans="1:214" x14ac:dyDescent="0.25">
      <c r="A236" s="61"/>
      <c r="B236" s="26"/>
      <c r="C236" s="32"/>
      <c r="D236" s="35"/>
      <c r="E236" s="33"/>
      <c r="F236" s="33"/>
      <c r="G236" s="33"/>
      <c r="H236" s="33"/>
      <c r="I236" s="34"/>
      <c r="J236" s="37"/>
      <c r="K236" s="33"/>
      <c r="L236" s="38"/>
      <c r="M236" s="37"/>
      <c r="N236" s="33"/>
      <c r="O236" s="33"/>
      <c r="P236" s="35"/>
      <c r="Q236" s="35"/>
      <c r="R236" s="51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</row>
    <row r="237" spans="1:214" x14ac:dyDescent="0.25">
      <c r="A237" s="61"/>
      <c r="B237" s="26"/>
      <c r="C237" s="32"/>
      <c r="D237" s="35"/>
      <c r="E237" s="33"/>
      <c r="F237" s="33"/>
      <c r="G237" s="33"/>
      <c r="H237" s="33"/>
      <c r="I237" s="34"/>
      <c r="J237" s="37"/>
      <c r="K237" s="33"/>
      <c r="L237" s="38"/>
      <c r="M237" s="37"/>
      <c r="N237" s="33"/>
      <c r="O237" s="33"/>
      <c r="P237" s="35"/>
      <c r="Q237" s="35"/>
      <c r="R237" s="51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</row>
    <row r="238" spans="1:214" x14ac:dyDescent="0.25">
      <c r="A238" s="61"/>
      <c r="B238" s="26"/>
      <c r="C238" s="32"/>
      <c r="D238" s="35"/>
      <c r="E238" s="33"/>
      <c r="F238" s="33"/>
      <c r="G238" s="33"/>
      <c r="H238" s="33"/>
      <c r="I238" s="34"/>
      <c r="J238" s="37"/>
      <c r="K238" s="33"/>
      <c r="L238" s="38"/>
      <c r="M238" s="37"/>
      <c r="N238" s="33"/>
      <c r="O238" s="33"/>
      <c r="P238" s="35"/>
      <c r="Q238" s="35"/>
      <c r="R238" s="51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</row>
    <row r="239" spans="1:214" x14ac:dyDescent="0.25">
      <c r="A239" s="61"/>
      <c r="B239" s="26"/>
      <c r="C239" s="32"/>
      <c r="D239" s="35"/>
      <c r="E239" s="33"/>
      <c r="F239" s="33"/>
      <c r="G239" s="33"/>
      <c r="H239" s="33"/>
      <c r="I239" s="34"/>
      <c r="J239" s="37"/>
      <c r="K239" s="33"/>
      <c r="L239" s="38"/>
      <c r="M239" s="37"/>
      <c r="N239" s="33"/>
      <c r="O239" s="33"/>
      <c r="P239" s="35"/>
      <c r="Q239" s="35"/>
      <c r="R239" s="51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</row>
    <row r="240" spans="1:214" x14ac:dyDescent="0.25">
      <c r="A240" s="61"/>
      <c r="B240" s="26"/>
      <c r="C240" s="32"/>
      <c r="D240" s="35"/>
      <c r="E240" s="33"/>
      <c r="F240" s="33"/>
      <c r="G240" s="33"/>
      <c r="H240" s="33"/>
      <c r="I240" s="34"/>
      <c r="J240" s="37"/>
      <c r="K240" s="33"/>
      <c r="L240" s="38"/>
      <c r="M240" s="37"/>
      <c r="N240" s="33"/>
      <c r="O240" s="33"/>
      <c r="P240" s="35"/>
      <c r="Q240" s="35"/>
      <c r="R240" s="51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</row>
    <row r="241" spans="1:214" x14ac:dyDescent="0.25">
      <c r="A241" s="61"/>
      <c r="B241" s="26"/>
      <c r="C241" s="32"/>
      <c r="D241" s="35"/>
      <c r="E241" s="33"/>
      <c r="F241" s="33"/>
      <c r="G241" s="33"/>
      <c r="H241" s="33"/>
      <c r="I241" s="34"/>
      <c r="J241" s="37"/>
      <c r="K241" s="33"/>
      <c r="L241" s="38"/>
      <c r="M241" s="37"/>
      <c r="N241" s="33"/>
      <c r="O241" s="33"/>
      <c r="P241" s="35"/>
      <c r="Q241" s="35"/>
      <c r="R241" s="51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</row>
    <row r="242" spans="1:214" x14ac:dyDescent="0.25">
      <c r="A242" s="61"/>
      <c r="B242" s="26"/>
      <c r="C242" s="32"/>
      <c r="D242" s="35"/>
      <c r="E242" s="33"/>
      <c r="F242" s="33"/>
      <c r="G242" s="33"/>
      <c r="H242" s="33"/>
      <c r="I242" s="34"/>
      <c r="J242" s="37"/>
      <c r="K242" s="33"/>
      <c r="L242" s="38"/>
      <c r="M242" s="37"/>
      <c r="N242" s="33"/>
      <c r="O242" s="33"/>
      <c r="P242" s="35"/>
      <c r="Q242" s="35"/>
      <c r="R242" s="51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</row>
    <row r="243" spans="1:214" x14ac:dyDescent="0.25">
      <c r="A243" s="61"/>
      <c r="B243" s="26"/>
      <c r="C243" s="32"/>
      <c r="D243" s="35"/>
      <c r="E243" s="33"/>
      <c r="F243" s="33"/>
      <c r="G243" s="33"/>
      <c r="H243" s="33"/>
      <c r="I243" s="34"/>
      <c r="J243" s="37"/>
      <c r="K243" s="33"/>
      <c r="L243" s="38"/>
      <c r="M243" s="37"/>
      <c r="N243" s="33"/>
      <c r="O243" s="33"/>
      <c r="P243" s="35"/>
      <c r="Q243" s="35"/>
      <c r="R243" s="51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</row>
    <row r="244" spans="1:214" x14ac:dyDescent="0.25">
      <c r="A244" s="61"/>
      <c r="B244" s="26"/>
      <c r="C244" s="32"/>
      <c r="D244" s="35"/>
      <c r="E244" s="33"/>
      <c r="F244" s="33"/>
      <c r="G244" s="33"/>
      <c r="H244" s="33"/>
      <c r="I244" s="34"/>
      <c r="J244" s="37"/>
      <c r="K244" s="33"/>
      <c r="L244" s="38"/>
      <c r="M244" s="37"/>
      <c r="N244" s="33"/>
      <c r="O244" s="33"/>
      <c r="P244" s="35"/>
      <c r="Q244" s="35"/>
      <c r="R244" s="51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</row>
    <row r="245" spans="1:214" x14ac:dyDescent="0.25">
      <c r="A245" s="61"/>
      <c r="B245" s="26"/>
      <c r="C245" s="32"/>
      <c r="D245" s="35"/>
      <c r="E245" s="33"/>
      <c r="F245" s="33"/>
      <c r="G245" s="33"/>
      <c r="H245" s="33"/>
      <c r="I245" s="34"/>
      <c r="J245" s="37"/>
      <c r="K245" s="33"/>
      <c r="L245" s="38"/>
      <c r="M245" s="37"/>
      <c r="N245" s="33"/>
      <c r="O245" s="33"/>
      <c r="P245" s="35"/>
      <c r="Q245" s="35"/>
      <c r="R245" s="51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</row>
    <row r="246" spans="1:214" x14ac:dyDescent="0.25">
      <c r="A246" s="61"/>
      <c r="B246" s="26"/>
      <c r="C246" s="32"/>
      <c r="D246" s="35"/>
      <c r="E246" s="33"/>
      <c r="F246" s="33"/>
      <c r="G246" s="33"/>
      <c r="H246" s="33"/>
      <c r="I246" s="34"/>
      <c r="J246" s="37"/>
      <c r="K246" s="33"/>
      <c r="L246" s="38"/>
      <c r="M246" s="37"/>
      <c r="N246" s="33"/>
      <c r="O246" s="33"/>
      <c r="P246" s="35"/>
      <c r="Q246" s="35"/>
      <c r="R246" s="51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</row>
    <row r="247" spans="1:214" x14ac:dyDescent="0.25">
      <c r="A247" s="61"/>
      <c r="B247" s="26"/>
      <c r="C247" s="32"/>
      <c r="D247" s="35"/>
      <c r="E247" s="33"/>
      <c r="F247" s="33"/>
      <c r="G247" s="33"/>
      <c r="H247" s="33"/>
      <c r="I247" s="34"/>
      <c r="J247" s="37"/>
      <c r="K247" s="33"/>
      <c r="L247" s="38"/>
      <c r="M247" s="37"/>
      <c r="N247" s="33"/>
      <c r="O247" s="33"/>
      <c r="P247" s="35"/>
      <c r="Q247" s="35"/>
      <c r="R247" s="51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</row>
    <row r="248" spans="1:214" x14ac:dyDescent="0.25">
      <c r="A248" s="61"/>
      <c r="B248" s="26"/>
      <c r="C248" s="32"/>
      <c r="D248" s="35"/>
      <c r="E248" s="33"/>
      <c r="F248" s="33"/>
      <c r="G248" s="33"/>
      <c r="H248" s="33"/>
      <c r="I248" s="34"/>
      <c r="J248" s="37"/>
      <c r="K248" s="33"/>
      <c r="L248" s="38"/>
      <c r="M248" s="37"/>
      <c r="N248" s="33"/>
      <c r="O248" s="33"/>
      <c r="P248" s="35"/>
      <c r="Q248" s="35"/>
      <c r="R248" s="51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</row>
    <row r="249" spans="1:214" x14ac:dyDescent="0.25">
      <c r="A249" s="61"/>
      <c r="B249" s="26"/>
      <c r="C249" s="32"/>
      <c r="D249" s="35"/>
      <c r="E249" s="33"/>
      <c r="F249" s="33"/>
      <c r="G249" s="33"/>
      <c r="H249" s="33"/>
      <c r="I249" s="34"/>
      <c r="J249" s="37"/>
      <c r="K249" s="33"/>
      <c r="L249" s="38"/>
      <c r="M249" s="37"/>
      <c r="N249" s="33"/>
      <c r="O249" s="33"/>
      <c r="P249" s="35"/>
      <c r="Q249" s="35"/>
      <c r="R249" s="51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</row>
    <row r="250" spans="1:214" x14ac:dyDescent="0.25">
      <c r="A250" s="61"/>
      <c r="B250" s="26"/>
      <c r="C250" s="32"/>
      <c r="D250" s="35"/>
      <c r="E250" s="33"/>
      <c r="F250" s="33"/>
      <c r="G250" s="33"/>
      <c r="H250" s="33"/>
      <c r="I250" s="34"/>
      <c r="J250" s="37"/>
      <c r="K250" s="33"/>
      <c r="L250" s="38"/>
      <c r="M250" s="37"/>
      <c r="N250" s="33"/>
      <c r="O250" s="33"/>
      <c r="P250" s="35"/>
      <c r="Q250" s="35"/>
      <c r="R250" s="51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</row>
    <row r="251" spans="1:214" x14ac:dyDescent="0.25">
      <c r="A251" s="61"/>
      <c r="B251" s="26"/>
      <c r="C251" s="32"/>
      <c r="D251" s="35"/>
      <c r="E251" s="33"/>
      <c r="F251" s="33"/>
      <c r="G251" s="33"/>
      <c r="H251" s="33"/>
      <c r="I251" s="34"/>
      <c r="J251" s="37"/>
      <c r="K251" s="33"/>
      <c r="L251" s="38"/>
      <c r="M251" s="37"/>
      <c r="N251" s="33"/>
      <c r="O251" s="33"/>
      <c r="P251" s="35"/>
      <c r="Q251" s="35"/>
      <c r="R251" s="51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</row>
    <row r="252" spans="1:214" x14ac:dyDescent="0.25">
      <c r="A252" s="61"/>
      <c r="B252" s="26"/>
      <c r="C252" s="32"/>
      <c r="D252" s="35"/>
      <c r="E252" s="33"/>
      <c r="F252" s="33"/>
      <c r="G252" s="33"/>
      <c r="H252" s="33"/>
      <c r="I252" s="34"/>
      <c r="J252" s="37"/>
      <c r="K252" s="33"/>
      <c r="L252" s="38"/>
      <c r="M252" s="37"/>
      <c r="N252" s="33"/>
      <c r="O252" s="33"/>
      <c r="P252" s="35"/>
      <c r="Q252" s="35"/>
      <c r="R252" s="51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</row>
    <row r="253" spans="1:214" x14ac:dyDescent="0.25">
      <c r="A253" s="61"/>
      <c r="B253" s="26"/>
      <c r="C253" s="32"/>
      <c r="D253" s="35"/>
      <c r="E253" s="33"/>
      <c r="F253" s="33"/>
      <c r="G253" s="33"/>
      <c r="H253" s="33"/>
      <c r="I253" s="34"/>
      <c r="J253" s="37"/>
      <c r="K253" s="33"/>
      <c r="L253" s="38"/>
      <c r="M253" s="37"/>
      <c r="N253" s="33"/>
      <c r="O253" s="33"/>
      <c r="P253" s="35"/>
      <c r="Q253" s="35"/>
      <c r="R253" s="51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</row>
    <row r="254" spans="1:214" x14ac:dyDescent="0.25">
      <c r="A254" s="61"/>
      <c r="B254" s="26"/>
      <c r="C254" s="32"/>
      <c r="D254" s="35"/>
      <c r="E254" s="33"/>
      <c r="F254" s="33"/>
      <c r="G254" s="33"/>
      <c r="H254" s="33"/>
      <c r="I254" s="34"/>
      <c r="J254" s="37"/>
      <c r="K254" s="33"/>
      <c r="L254" s="38"/>
      <c r="M254" s="37"/>
      <c r="N254" s="33"/>
      <c r="O254" s="33"/>
      <c r="P254" s="35"/>
      <c r="Q254" s="35"/>
      <c r="R254" s="51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</row>
    <row r="255" spans="1:214" x14ac:dyDescent="0.25">
      <c r="A255" s="61"/>
      <c r="B255" s="26"/>
      <c r="C255" s="32"/>
      <c r="D255" s="35"/>
      <c r="E255" s="33"/>
      <c r="F255" s="33"/>
      <c r="G255" s="33"/>
      <c r="H255" s="33"/>
      <c r="I255" s="34"/>
      <c r="J255" s="37"/>
      <c r="K255" s="33"/>
      <c r="L255" s="38"/>
      <c r="M255" s="37"/>
      <c r="N255" s="33"/>
      <c r="O255" s="33"/>
      <c r="P255" s="35"/>
      <c r="Q255" s="35"/>
      <c r="R255" s="51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</row>
    <row r="256" spans="1:214" x14ac:dyDescent="0.25">
      <c r="A256" s="61"/>
      <c r="B256" s="26"/>
      <c r="C256" s="32"/>
      <c r="D256" s="35"/>
      <c r="E256" s="33"/>
      <c r="F256" s="33"/>
      <c r="G256" s="33"/>
      <c r="H256" s="33"/>
      <c r="I256" s="34"/>
      <c r="J256" s="37"/>
      <c r="K256" s="33"/>
      <c r="L256" s="38"/>
      <c r="M256" s="37"/>
      <c r="N256" s="33"/>
      <c r="O256" s="33"/>
      <c r="P256" s="35"/>
      <c r="Q256" s="35"/>
      <c r="R256" s="51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</row>
    <row r="257" spans="1:214" x14ac:dyDescent="0.25">
      <c r="A257" s="61"/>
      <c r="B257" s="26"/>
      <c r="C257" s="32"/>
      <c r="D257" s="35"/>
      <c r="E257" s="33"/>
      <c r="F257" s="33"/>
      <c r="G257" s="33"/>
      <c r="H257" s="33"/>
      <c r="I257" s="34"/>
      <c r="J257" s="37"/>
      <c r="K257" s="33"/>
      <c r="L257" s="38"/>
      <c r="M257" s="37"/>
      <c r="N257" s="33"/>
      <c r="O257" s="33"/>
      <c r="P257" s="35"/>
      <c r="Q257" s="35"/>
      <c r="R257" s="51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</row>
    <row r="258" spans="1:214" x14ac:dyDescent="0.25">
      <c r="A258" s="61"/>
      <c r="B258" s="26"/>
      <c r="C258" s="32"/>
      <c r="D258" s="35"/>
      <c r="E258" s="33"/>
      <c r="F258" s="33"/>
      <c r="G258" s="33"/>
      <c r="H258" s="33"/>
      <c r="I258" s="34"/>
      <c r="J258" s="37"/>
      <c r="K258" s="33"/>
      <c r="L258" s="38"/>
      <c r="M258" s="37"/>
      <c r="N258" s="33"/>
      <c r="O258" s="33"/>
      <c r="P258" s="35"/>
      <c r="Q258" s="35"/>
      <c r="R258" s="51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</row>
    <row r="259" spans="1:214" x14ac:dyDescent="0.25">
      <c r="A259" s="61"/>
      <c r="B259" s="26"/>
      <c r="C259" s="32"/>
      <c r="D259" s="35"/>
      <c r="E259" s="33"/>
      <c r="F259" s="33"/>
      <c r="G259" s="33"/>
      <c r="H259" s="33"/>
      <c r="I259" s="34"/>
      <c r="J259" s="37"/>
      <c r="K259" s="33"/>
      <c r="L259" s="38"/>
      <c r="M259" s="37"/>
      <c r="N259" s="33"/>
      <c r="O259" s="33"/>
      <c r="P259" s="35"/>
      <c r="Q259" s="35"/>
      <c r="R259" s="51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</row>
    <row r="260" spans="1:214" x14ac:dyDescent="0.25">
      <c r="A260" s="61"/>
      <c r="B260" s="26"/>
      <c r="C260" s="32"/>
      <c r="D260" s="35"/>
      <c r="E260" s="33"/>
      <c r="F260" s="33"/>
      <c r="G260" s="33"/>
      <c r="H260" s="33"/>
      <c r="I260" s="34"/>
      <c r="J260" s="37"/>
      <c r="K260" s="33"/>
      <c r="L260" s="38"/>
      <c r="M260" s="37"/>
      <c r="N260" s="33"/>
      <c r="O260" s="33"/>
      <c r="P260" s="35"/>
      <c r="Q260" s="35"/>
      <c r="R260" s="51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</row>
    <row r="261" spans="1:214" x14ac:dyDescent="0.25">
      <c r="A261" s="61"/>
      <c r="B261" s="26"/>
      <c r="C261" s="32"/>
      <c r="D261" s="35"/>
      <c r="E261" s="33"/>
      <c r="F261" s="33"/>
      <c r="G261" s="33"/>
      <c r="H261" s="33"/>
      <c r="I261" s="34"/>
      <c r="J261" s="37"/>
      <c r="K261" s="33"/>
      <c r="L261" s="38"/>
      <c r="M261" s="37"/>
      <c r="N261" s="33"/>
      <c r="O261" s="33"/>
      <c r="P261" s="35"/>
      <c r="Q261" s="35"/>
      <c r="R261" s="51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</row>
    <row r="262" spans="1:214" x14ac:dyDescent="0.25">
      <c r="A262" s="61"/>
      <c r="B262" s="26"/>
      <c r="C262" s="32"/>
      <c r="D262" s="35"/>
      <c r="E262" s="33"/>
      <c r="F262" s="33"/>
      <c r="G262" s="33"/>
      <c r="H262" s="33"/>
      <c r="I262" s="34"/>
      <c r="J262" s="37"/>
      <c r="K262" s="33"/>
      <c r="L262" s="38"/>
      <c r="M262" s="37"/>
      <c r="N262" s="33"/>
      <c r="O262" s="33"/>
      <c r="P262" s="35"/>
      <c r="Q262" s="35"/>
      <c r="R262" s="51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</row>
    <row r="263" spans="1:214" x14ac:dyDescent="0.25">
      <c r="A263" s="61"/>
      <c r="B263" s="26"/>
      <c r="C263" s="32"/>
      <c r="D263" s="35"/>
      <c r="E263" s="33"/>
      <c r="F263" s="33"/>
      <c r="G263" s="33"/>
      <c r="H263" s="33"/>
      <c r="I263" s="34"/>
      <c r="J263" s="37"/>
      <c r="K263" s="33"/>
      <c r="L263" s="38"/>
      <c r="M263" s="37"/>
      <c r="N263" s="33"/>
      <c r="O263" s="33"/>
      <c r="P263" s="35"/>
      <c r="Q263" s="35"/>
      <c r="R263" s="51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</row>
    <row r="264" spans="1:214" x14ac:dyDescent="0.25">
      <c r="A264" s="61"/>
      <c r="B264" s="26"/>
      <c r="C264" s="32"/>
      <c r="D264" s="35"/>
      <c r="E264" s="33"/>
      <c r="F264" s="33"/>
      <c r="G264" s="33"/>
      <c r="H264" s="33"/>
      <c r="I264" s="34"/>
      <c r="J264" s="37"/>
      <c r="K264" s="33"/>
      <c r="L264" s="38"/>
      <c r="M264" s="37"/>
      <c r="N264" s="33"/>
      <c r="O264" s="33"/>
      <c r="P264" s="35"/>
      <c r="Q264" s="35"/>
      <c r="R264" s="51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</row>
    <row r="265" spans="1:214" x14ac:dyDescent="0.25">
      <c r="A265" s="61"/>
      <c r="B265" s="26"/>
      <c r="C265" s="32"/>
      <c r="D265" s="35"/>
      <c r="E265" s="33"/>
      <c r="F265" s="33"/>
      <c r="G265" s="33"/>
      <c r="H265" s="33"/>
      <c r="I265" s="34"/>
      <c r="J265" s="37"/>
      <c r="K265" s="33"/>
      <c r="L265" s="38"/>
      <c r="M265" s="37"/>
      <c r="N265" s="33"/>
      <c r="O265" s="33"/>
      <c r="P265" s="35"/>
      <c r="Q265" s="35"/>
      <c r="R265" s="51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</row>
    <row r="266" spans="1:214" x14ac:dyDescent="0.25">
      <c r="A266" s="61"/>
      <c r="B266" s="26"/>
      <c r="C266" s="32"/>
      <c r="D266" s="35"/>
      <c r="E266" s="33"/>
      <c r="F266" s="33"/>
      <c r="G266" s="33"/>
      <c r="H266" s="33"/>
      <c r="I266" s="34"/>
      <c r="J266" s="37"/>
      <c r="K266" s="33"/>
      <c r="L266" s="38"/>
      <c r="M266" s="37"/>
      <c r="N266" s="33"/>
      <c r="O266" s="33"/>
      <c r="P266" s="35"/>
      <c r="Q266" s="35"/>
      <c r="R266" s="51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</row>
    <row r="267" spans="1:214" x14ac:dyDescent="0.25">
      <c r="A267" s="61"/>
      <c r="B267" s="26"/>
      <c r="C267" s="32"/>
      <c r="D267" s="35"/>
      <c r="E267" s="33"/>
      <c r="F267" s="33"/>
      <c r="G267" s="33"/>
      <c r="H267" s="33"/>
      <c r="I267" s="34"/>
      <c r="J267" s="37"/>
      <c r="K267" s="33"/>
      <c r="L267" s="38"/>
      <c r="M267" s="37"/>
      <c r="N267" s="33"/>
      <c r="O267" s="33"/>
      <c r="P267" s="35"/>
      <c r="Q267" s="35"/>
      <c r="R267" s="51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</row>
    <row r="268" spans="1:214" x14ac:dyDescent="0.25">
      <c r="A268" s="61"/>
      <c r="B268" s="26"/>
      <c r="C268" s="32"/>
      <c r="D268" s="35"/>
      <c r="E268" s="33"/>
      <c r="F268" s="33"/>
      <c r="G268" s="33"/>
      <c r="H268" s="33"/>
      <c r="I268" s="34"/>
      <c r="J268" s="37"/>
      <c r="K268" s="33"/>
      <c r="L268" s="38"/>
      <c r="M268" s="37"/>
      <c r="N268" s="33"/>
      <c r="O268" s="33"/>
      <c r="P268" s="35"/>
      <c r="Q268" s="35"/>
      <c r="R268" s="51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</row>
    <row r="269" spans="1:214" x14ac:dyDescent="0.25">
      <c r="A269" s="61"/>
      <c r="B269" s="26"/>
      <c r="C269" s="32"/>
      <c r="D269" s="35"/>
      <c r="E269" s="33"/>
      <c r="F269" s="33"/>
      <c r="G269" s="33"/>
      <c r="H269" s="33"/>
      <c r="I269" s="34"/>
      <c r="J269" s="37"/>
      <c r="K269" s="33"/>
      <c r="L269" s="38"/>
      <c r="M269" s="37"/>
      <c r="N269" s="33"/>
      <c r="O269" s="33"/>
      <c r="P269" s="35"/>
      <c r="Q269" s="35"/>
      <c r="R269" s="51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</row>
    <row r="270" spans="1:214" x14ac:dyDescent="0.25">
      <c r="A270" s="61"/>
      <c r="B270" s="26"/>
      <c r="C270" s="32"/>
      <c r="D270" s="35"/>
      <c r="E270" s="33"/>
      <c r="F270" s="33"/>
      <c r="G270" s="33"/>
      <c r="H270" s="33"/>
      <c r="I270" s="34"/>
      <c r="J270" s="37"/>
      <c r="K270" s="33"/>
      <c r="L270" s="38"/>
      <c r="M270" s="37"/>
      <c r="N270" s="33"/>
      <c r="O270" s="33"/>
      <c r="P270" s="35"/>
      <c r="Q270" s="35"/>
      <c r="R270" s="51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</row>
    <row r="271" spans="1:214" x14ac:dyDescent="0.25">
      <c r="A271" s="61"/>
      <c r="B271" s="26"/>
      <c r="C271" s="32"/>
      <c r="D271" s="35"/>
      <c r="E271" s="33"/>
      <c r="F271" s="33"/>
      <c r="G271" s="33"/>
      <c r="H271" s="33"/>
      <c r="I271" s="34"/>
      <c r="J271" s="37"/>
      <c r="K271" s="33"/>
      <c r="L271" s="38"/>
      <c r="M271" s="37"/>
      <c r="N271" s="33"/>
      <c r="O271" s="33"/>
      <c r="P271" s="35"/>
      <c r="Q271" s="35"/>
      <c r="R271" s="51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</row>
    <row r="272" spans="1:214" x14ac:dyDescent="0.25">
      <c r="A272" s="61"/>
      <c r="B272" s="26"/>
      <c r="C272" s="32"/>
      <c r="D272" s="35"/>
      <c r="E272" s="33"/>
      <c r="F272" s="33"/>
      <c r="G272" s="33"/>
      <c r="H272" s="33"/>
      <c r="I272" s="34"/>
      <c r="J272" s="37"/>
      <c r="K272" s="33"/>
      <c r="L272" s="38"/>
      <c r="M272" s="37"/>
      <c r="N272" s="33"/>
      <c r="O272" s="33"/>
      <c r="P272" s="35"/>
      <c r="Q272" s="35"/>
      <c r="R272" s="51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</row>
    <row r="273" spans="1:214" x14ac:dyDescent="0.25">
      <c r="A273" s="61"/>
      <c r="B273" s="26"/>
      <c r="C273" s="32"/>
      <c r="D273" s="35"/>
      <c r="E273" s="33"/>
      <c r="F273" s="33"/>
      <c r="G273" s="33"/>
      <c r="H273" s="33"/>
      <c r="I273" s="34"/>
      <c r="J273" s="37"/>
      <c r="K273" s="33"/>
      <c r="L273" s="38"/>
      <c r="M273" s="37"/>
      <c r="N273" s="33"/>
      <c r="O273" s="33"/>
      <c r="P273" s="35"/>
      <c r="Q273" s="35"/>
      <c r="R273" s="51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</row>
    <row r="274" spans="1:214" x14ac:dyDescent="0.25">
      <c r="A274" s="61"/>
      <c r="B274" s="26"/>
      <c r="C274" s="32"/>
      <c r="D274" s="35"/>
      <c r="E274" s="33"/>
      <c r="F274" s="33"/>
      <c r="G274" s="33"/>
      <c r="H274" s="33"/>
      <c r="I274" s="34"/>
      <c r="J274" s="37"/>
      <c r="K274" s="33"/>
      <c r="L274" s="38"/>
      <c r="M274" s="37"/>
      <c r="N274" s="33"/>
      <c r="O274" s="33"/>
      <c r="P274" s="35"/>
      <c r="Q274" s="35"/>
      <c r="R274" s="51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</row>
    <row r="275" spans="1:214" x14ac:dyDescent="0.25">
      <c r="A275" s="61"/>
      <c r="B275" s="26"/>
      <c r="C275" s="32"/>
      <c r="D275" s="35"/>
      <c r="E275" s="33"/>
      <c r="F275" s="33"/>
      <c r="G275" s="33"/>
      <c r="H275" s="33"/>
      <c r="I275" s="34"/>
      <c r="J275" s="37"/>
      <c r="K275" s="33"/>
      <c r="L275" s="38"/>
      <c r="M275" s="37"/>
      <c r="N275" s="33"/>
      <c r="O275" s="33"/>
      <c r="P275" s="35"/>
      <c r="Q275" s="35"/>
      <c r="R275" s="51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</row>
    <row r="276" spans="1:214" x14ac:dyDescent="0.25">
      <c r="A276" s="61"/>
      <c r="B276" s="26"/>
      <c r="C276" s="32"/>
      <c r="D276" s="35"/>
      <c r="E276" s="33"/>
      <c r="F276" s="33"/>
      <c r="G276" s="33"/>
      <c r="H276" s="33"/>
      <c r="I276" s="34"/>
      <c r="J276" s="37"/>
      <c r="K276" s="33"/>
      <c r="L276" s="38"/>
      <c r="M276" s="37"/>
      <c r="N276" s="33"/>
      <c r="O276" s="33"/>
      <c r="P276" s="35"/>
      <c r="Q276" s="35"/>
      <c r="R276" s="51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</row>
    <row r="277" spans="1:214" x14ac:dyDescent="0.25">
      <c r="A277" s="61"/>
      <c r="B277" s="26"/>
      <c r="C277" s="32"/>
      <c r="D277" s="35"/>
      <c r="E277" s="33"/>
      <c r="F277" s="33"/>
      <c r="G277" s="33"/>
      <c r="H277" s="33"/>
      <c r="I277" s="34"/>
      <c r="J277" s="37"/>
      <c r="K277" s="33"/>
      <c r="L277" s="38"/>
      <c r="M277" s="37"/>
      <c r="N277" s="33"/>
      <c r="O277" s="33"/>
      <c r="P277" s="35"/>
      <c r="Q277" s="35"/>
      <c r="R277" s="51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</row>
    <row r="278" spans="1:214" x14ac:dyDescent="0.25">
      <c r="A278" s="61"/>
      <c r="B278" s="26"/>
      <c r="C278" s="32"/>
      <c r="D278" s="35"/>
      <c r="E278" s="33"/>
      <c r="F278" s="33"/>
      <c r="G278" s="33"/>
      <c r="H278" s="33"/>
      <c r="I278" s="34"/>
      <c r="J278" s="37"/>
      <c r="K278" s="33"/>
      <c r="L278" s="38"/>
      <c r="M278" s="37"/>
      <c r="N278" s="33"/>
      <c r="O278" s="33"/>
      <c r="P278" s="35"/>
      <c r="Q278" s="35"/>
      <c r="R278" s="51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</row>
    <row r="279" spans="1:214" x14ac:dyDescent="0.25">
      <c r="A279" s="61"/>
      <c r="B279" s="26"/>
      <c r="C279" s="32"/>
      <c r="D279" s="35"/>
      <c r="E279" s="33"/>
      <c r="F279" s="33"/>
      <c r="G279" s="33"/>
      <c r="H279" s="33"/>
      <c r="I279" s="34"/>
      <c r="J279" s="37"/>
      <c r="K279" s="33"/>
      <c r="L279" s="38"/>
      <c r="M279" s="37"/>
      <c r="N279" s="33"/>
      <c r="O279" s="33"/>
      <c r="P279" s="35"/>
      <c r="Q279" s="35"/>
      <c r="R279" s="51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</row>
    <row r="280" spans="1:214" x14ac:dyDescent="0.25">
      <c r="A280" s="61"/>
      <c r="B280" s="26"/>
      <c r="C280" s="32"/>
      <c r="D280" s="35"/>
      <c r="E280" s="33"/>
      <c r="F280" s="33"/>
      <c r="G280" s="33"/>
      <c r="H280" s="33"/>
      <c r="I280" s="34"/>
      <c r="J280" s="37"/>
      <c r="K280" s="33"/>
      <c r="L280" s="38"/>
      <c r="M280" s="37"/>
      <c r="N280" s="33"/>
      <c r="O280" s="33"/>
      <c r="P280" s="35"/>
      <c r="Q280" s="35"/>
      <c r="R280" s="51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</row>
    <row r="281" spans="1:214" x14ac:dyDescent="0.25">
      <c r="A281" s="61"/>
      <c r="B281" s="26"/>
      <c r="C281" s="32"/>
      <c r="D281" s="35"/>
      <c r="E281" s="33"/>
      <c r="F281" s="33"/>
      <c r="G281" s="33"/>
      <c r="H281" s="33"/>
      <c r="I281" s="34"/>
      <c r="J281" s="37"/>
      <c r="K281" s="33"/>
      <c r="L281" s="38"/>
      <c r="M281" s="37"/>
      <c r="N281" s="33"/>
      <c r="O281" s="33"/>
      <c r="P281" s="35"/>
      <c r="Q281" s="35"/>
      <c r="R281" s="51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</row>
    <row r="282" spans="1:214" x14ac:dyDescent="0.25">
      <c r="A282" s="61"/>
      <c r="B282" s="26"/>
      <c r="C282" s="32"/>
      <c r="D282" s="35"/>
      <c r="E282" s="33"/>
      <c r="F282" s="33"/>
      <c r="G282" s="33"/>
      <c r="H282" s="33"/>
      <c r="I282" s="34"/>
      <c r="J282" s="37"/>
      <c r="K282" s="33"/>
      <c r="L282" s="38"/>
      <c r="M282" s="37"/>
      <c r="N282" s="33"/>
      <c r="O282" s="33"/>
      <c r="P282" s="35"/>
      <c r="Q282" s="35"/>
      <c r="R282" s="51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</row>
    <row r="283" spans="1:214" x14ac:dyDescent="0.25">
      <c r="A283" s="61"/>
      <c r="B283" s="26"/>
      <c r="C283" s="32"/>
      <c r="D283" s="35"/>
      <c r="E283" s="33"/>
      <c r="F283" s="33"/>
      <c r="G283" s="33"/>
      <c r="H283" s="33"/>
      <c r="I283" s="34"/>
      <c r="J283" s="37"/>
      <c r="K283" s="33"/>
      <c r="L283" s="38"/>
      <c r="M283" s="37"/>
      <c r="N283" s="33"/>
      <c r="O283" s="33"/>
      <c r="P283" s="35"/>
      <c r="Q283" s="35"/>
      <c r="R283" s="51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</row>
    <row r="284" spans="1:214" x14ac:dyDescent="0.25">
      <c r="A284" s="61"/>
      <c r="B284" s="26"/>
      <c r="C284" s="32"/>
      <c r="D284" s="35"/>
      <c r="E284" s="33"/>
      <c r="F284" s="33"/>
      <c r="G284" s="33"/>
      <c r="H284" s="33"/>
      <c r="I284" s="34"/>
      <c r="J284" s="37"/>
      <c r="K284" s="33"/>
      <c r="L284" s="38"/>
      <c r="M284" s="37"/>
      <c r="N284" s="33"/>
      <c r="O284" s="33"/>
      <c r="P284" s="35"/>
      <c r="Q284" s="35"/>
      <c r="R284" s="51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</row>
    <row r="285" spans="1:214" x14ac:dyDescent="0.25">
      <c r="A285" s="61"/>
      <c r="B285" s="26"/>
      <c r="C285" s="32"/>
      <c r="D285" s="35"/>
      <c r="E285" s="33"/>
      <c r="F285" s="33"/>
      <c r="G285" s="33"/>
      <c r="H285" s="33"/>
      <c r="I285" s="34"/>
      <c r="J285" s="37"/>
      <c r="K285" s="33"/>
      <c r="L285" s="38"/>
      <c r="M285" s="37"/>
      <c r="N285" s="33"/>
      <c r="O285" s="33"/>
      <c r="P285" s="35"/>
      <c r="Q285" s="35"/>
      <c r="R285" s="51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</row>
    <row r="286" spans="1:214" x14ac:dyDescent="0.25">
      <c r="A286" s="61"/>
      <c r="B286" s="26"/>
      <c r="C286" s="32"/>
      <c r="D286" s="35"/>
      <c r="E286" s="33"/>
      <c r="F286" s="33"/>
      <c r="G286" s="33"/>
      <c r="H286" s="33"/>
      <c r="I286" s="34"/>
      <c r="J286" s="37"/>
      <c r="K286" s="33"/>
      <c r="L286" s="38"/>
      <c r="M286" s="37"/>
      <c r="N286" s="33"/>
      <c r="O286" s="33"/>
      <c r="P286" s="35"/>
      <c r="Q286" s="35"/>
      <c r="R286" s="51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</row>
    <row r="287" spans="1:214" x14ac:dyDescent="0.25">
      <c r="A287" s="61"/>
      <c r="B287" s="26"/>
      <c r="C287" s="32"/>
      <c r="D287" s="35"/>
      <c r="E287" s="33"/>
      <c r="F287" s="33"/>
      <c r="G287" s="33"/>
      <c r="H287" s="33"/>
      <c r="I287" s="34"/>
      <c r="J287" s="37"/>
      <c r="K287" s="33"/>
      <c r="L287" s="38"/>
      <c r="M287" s="37"/>
      <c r="N287" s="33"/>
      <c r="O287" s="33"/>
      <c r="P287" s="35"/>
      <c r="Q287" s="35"/>
      <c r="R287" s="51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</row>
    <row r="288" spans="1:214" x14ac:dyDescent="0.25">
      <c r="A288" s="61"/>
      <c r="B288" s="26"/>
      <c r="C288" s="32"/>
      <c r="D288" s="35"/>
      <c r="E288" s="33"/>
      <c r="F288" s="33"/>
      <c r="G288" s="33"/>
      <c r="H288" s="33"/>
      <c r="I288" s="34"/>
      <c r="J288" s="37"/>
      <c r="K288" s="33"/>
      <c r="L288" s="38"/>
      <c r="M288" s="37"/>
      <c r="N288" s="33"/>
      <c r="O288" s="33"/>
      <c r="P288" s="35"/>
      <c r="Q288" s="35"/>
      <c r="R288" s="51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</row>
    <row r="289" spans="1:214" x14ac:dyDescent="0.25">
      <c r="A289" s="61"/>
      <c r="B289" s="26"/>
      <c r="C289" s="32"/>
      <c r="D289" s="35"/>
      <c r="E289" s="33"/>
      <c r="F289" s="33"/>
      <c r="G289" s="33"/>
      <c r="H289" s="33"/>
      <c r="I289" s="34"/>
      <c r="J289" s="37"/>
      <c r="K289" s="33"/>
      <c r="L289" s="38"/>
      <c r="M289" s="37"/>
      <c r="N289" s="33"/>
      <c r="O289" s="33"/>
      <c r="P289" s="35"/>
      <c r="Q289" s="35"/>
      <c r="R289" s="51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</row>
    <row r="290" spans="1:214" x14ac:dyDescent="0.25">
      <c r="A290" s="61"/>
      <c r="B290" s="26"/>
      <c r="C290" s="32"/>
      <c r="D290" s="35"/>
      <c r="E290" s="33"/>
      <c r="F290" s="33"/>
      <c r="G290" s="33"/>
      <c r="H290" s="33"/>
      <c r="I290" s="34"/>
      <c r="J290" s="37"/>
      <c r="K290" s="33"/>
      <c r="L290" s="38"/>
      <c r="M290" s="37"/>
      <c r="N290" s="33"/>
      <c r="O290" s="33"/>
      <c r="P290" s="35"/>
      <c r="Q290" s="35"/>
      <c r="R290" s="51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</row>
    <row r="291" spans="1:214" x14ac:dyDescent="0.25">
      <c r="A291" s="61"/>
      <c r="B291" s="26"/>
      <c r="C291" s="32"/>
      <c r="D291" s="35"/>
      <c r="E291" s="33"/>
      <c r="F291" s="33"/>
      <c r="G291" s="33"/>
      <c r="H291" s="33"/>
      <c r="I291" s="34"/>
      <c r="J291" s="37"/>
      <c r="K291" s="33"/>
      <c r="L291" s="38"/>
      <c r="M291" s="37"/>
      <c r="N291" s="33"/>
      <c r="O291" s="33"/>
      <c r="P291" s="35"/>
      <c r="Q291" s="35"/>
      <c r="R291" s="51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</row>
    <row r="292" spans="1:214" x14ac:dyDescent="0.25">
      <c r="A292" s="61"/>
      <c r="B292" s="26"/>
      <c r="C292" s="32"/>
      <c r="D292" s="35"/>
      <c r="E292" s="33"/>
      <c r="F292" s="33"/>
      <c r="G292" s="33"/>
      <c r="H292" s="33"/>
      <c r="I292" s="34"/>
      <c r="J292" s="37"/>
      <c r="K292" s="33"/>
      <c r="L292" s="38"/>
      <c r="M292" s="37"/>
      <c r="N292" s="33"/>
      <c r="O292" s="33"/>
      <c r="P292" s="35"/>
      <c r="Q292" s="35"/>
      <c r="R292" s="51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</row>
    <row r="293" spans="1:214" x14ac:dyDescent="0.25">
      <c r="A293" s="61"/>
      <c r="B293" s="26"/>
      <c r="C293" s="32"/>
      <c r="D293" s="35"/>
      <c r="E293" s="33"/>
      <c r="F293" s="33"/>
      <c r="G293" s="33"/>
      <c r="H293" s="33"/>
      <c r="I293" s="34"/>
      <c r="J293" s="37"/>
      <c r="K293" s="33"/>
      <c r="L293" s="38"/>
      <c r="M293" s="37"/>
      <c r="N293" s="33"/>
      <c r="O293" s="33"/>
      <c r="P293" s="35"/>
      <c r="Q293" s="35"/>
      <c r="R293" s="51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</row>
    <row r="294" spans="1:214" x14ac:dyDescent="0.25">
      <c r="A294" s="61"/>
      <c r="B294" s="26"/>
      <c r="C294" s="32"/>
      <c r="D294" s="35"/>
      <c r="E294" s="33"/>
      <c r="F294" s="33"/>
      <c r="G294" s="33"/>
      <c r="H294" s="33"/>
      <c r="I294" s="34"/>
      <c r="J294" s="37"/>
      <c r="K294" s="33"/>
      <c r="L294" s="38"/>
      <c r="M294" s="37"/>
      <c r="N294" s="33"/>
      <c r="O294" s="33"/>
      <c r="P294" s="35"/>
      <c r="Q294" s="35"/>
      <c r="R294" s="51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</row>
    <row r="295" spans="1:214" x14ac:dyDescent="0.25">
      <c r="A295" s="61"/>
      <c r="B295" s="26"/>
      <c r="C295" s="32"/>
      <c r="D295" s="35"/>
      <c r="E295" s="33"/>
      <c r="F295" s="33"/>
      <c r="G295" s="33"/>
      <c r="H295" s="33"/>
      <c r="I295" s="34"/>
      <c r="J295" s="37"/>
      <c r="K295" s="33"/>
      <c r="L295" s="38"/>
      <c r="M295" s="37"/>
      <c r="N295" s="33"/>
      <c r="O295" s="33"/>
      <c r="P295" s="35"/>
      <c r="Q295" s="35"/>
      <c r="R295" s="51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</row>
    <row r="296" spans="1:214" x14ac:dyDescent="0.25">
      <c r="A296" s="61"/>
      <c r="B296" s="26"/>
      <c r="C296" s="32"/>
      <c r="D296" s="35"/>
      <c r="E296" s="33"/>
      <c r="F296" s="33"/>
      <c r="G296" s="33"/>
      <c r="H296" s="33"/>
      <c r="I296" s="34"/>
      <c r="J296" s="37"/>
      <c r="K296" s="33"/>
      <c r="L296" s="38"/>
      <c r="M296" s="37"/>
      <c r="N296" s="33"/>
      <c r="O296" s="33"/>
      <c r="P296" s="35"/>
      <c r="Q296" s="35"/>
      <c r="R296" s="51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</row>
    <row r="297" spans="1:214" x14ac:dyDescent="0.25">
      <c r="A297" s="61"/>
      <c r="B297" s="26"/>
      <c r="C297" s="32"/>
      <c r="D297" s="35"/>
      <c r="E297" s="33"/>
      <c r="F297" s="33"/>
      <c r="G297" s="33"/>
      <c r="H297" s="33"/>
      <c r="I297" s="34"/>
      <c r="J297" s="37"/>
      <c r="K297" s="33"/>
      <c r="L297" s="38"/>
      <c r="M297" s="37"/>
      <c r="N297" s="33"/>
      <c r="O297" s="33"/>
      <c r="P297" s="35"/>
      <c r="Q297" s="35"/>
      <c r="R297" s="51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</row>
    <row r="298" spans="1:214" x14ac:dyDescent="0.25">
      <c r="A298" s="61"/>
      <c r="B298" s="26"/>
      <c r="C298" s="32"/>
      <c r="D298" s="35"/>
      <c r="E298" s="33"/>
      <c r="F298" s="33"/>
      <c r="G298" s="33"/>
      <c r="H298" s="33"/>
      <c r="I298" s="34"/>
      <c r="J298" s="37"/>
      <c r="K298" s="33"/>
      <c r="L298" s="38"/>
      <c r="M298" s="37"/>
      <c r="N298" s="33"/>
      <c r="O298" s="33"/>
      <c r="P298" s="35"/>
      <c r="Q298" s="35"/>
      <c r="R298" s="51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</row>
    <row r="299" spans="1:214" x14ac:dyDescent="0.25">
      <c r="A299" s="61"/>
      <c r="B299" s="26"/>
      <c r="C299" s="32"/>
      <c r="D299" s="35"/>
      <c r="E299" s="33"/>
      <c r="F299" s="33"/>
      <c r="G299" s="33"/>
      <c r="H299" s="33"/>
      <c r="I299" s="34"/>
      <c r="J299" s="37"/>
      <c r="K299" s="33"/>
      <c r="L299" s="38"/>
      <c r="M299" s="37"/>
      <c r="N299" s="33"/>
      <c r="O299" s="33"/>
      <c r="P299" s="35"/>
      <c r="Q299" s="35"/>
      <c r="R299" s="51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</row>
    <row r="300" spans="1:214" x14ac:dyDescent="0.25">
      <c r="A300" s="61"/>
      <c r="B300" s="26"/>
      <c r="C300" s="32"/>
      <c r="D300" s="35"/>
      <c r="E300" s="33"/>
      <c r="F300" s="33"/>
      <c r="G300" s="33"/>
      <c r="H300" s="33"/>
      <c r="I300" s="34"/>
      <c r="J300" s="37"/>
      <c r="K300" s="33"/>
      <c r="L300" s="38"/>
      <c r="M300" s="37"/>
      <c r="N300" s="33"/>
      <c r="O300" s="33"/>
      <c r="P300" s="35"/>
      <c r="Q300" s="35"/>
      <c r="R300" s="51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</row>
    <row r="301" spans="1:214" x14ac:dyDescent="0.25">
      <c r="A301" s="61"/>
      <c r="B301" s="26"/>
      <c r="C301" s="32"/>
      <c r="D301" s="35"/>
      <c r="E301" s="33"/>
      <c r="F301" s="33"/>
      <c r="G301" s="33"/>
      <c r="H301" s="33"/>
      <c r="I301" s="34"/>
      <c r="J301" s="37"/>
      <c r="K301" s="33"/>
      <c r="L301" s="38"/>
      <c r="M301" s="37"/>
      <c r="N301" s="33"/>
      <c r="O301" s="33"/>
      <c r="P301" s="35"/>
      <c r="Q301" s="35"/>
      <c r="R301" s="51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</row>
    <row r="302" spans="1:214" x14ac:dyDescent="0.25">
      <c r="A302" s="61"/>
      <c r="B302" s="26"/>
      <c r="C302" s="32"/>
      <c r="D302" s="35"/>
      <c r="E302" s="33"/>
      <c r="F302" s="33"/>
      <c r="G302" s="33"/>
      <c r="H302" s="33"/>
      <c r="I302" s="34"/>
      <c r="J302" s="37"/>
      <c r="K302" s="33"/>
      <c r="L302" s="38"/>
      <c r="M302" s="37"/>
      <c r="N302" s="33"/>
      <c r="O302" s="33"/>
      <c r="P302" s="35"/>
      <c r="Q302" s="35"/>
      <c r="R302" s="51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</row>
    <row r="303" spans="1:214" x14ac:dyDescent="0.25">
      <c r="A303" s="61"/>
      <c r="B303" s="26"/>
      <c r="C303" s="32"/>
      <c r="D303" s="35"/>
      <c r="E303" s="33"/>
      <c r="F303" s="33"/>
      <c r="G303" s="33"/>
      <c r="H303" s="33"/>
      <c r="I303" s="34"/>
      <c r="J303" s="37"/>
      <c r="K303" s="33"/>
      <c r="L303" s="38"/>
      <c r="M303" s="37"/>
      <c r="N303" s="33"/>
      <c r="O303" s="33"/>
      <c r="P303" s="35"/>
      <c r="Q303" s="35"/>
      <c r="R303" s="51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</row>
    <row r="304" spans="1:214" x14ac:dyDescent="0.25">
      <c r="A304" s="61"/>
      <c r="B304" s="26"/>
      <c r="C304" s="32"/>
      <c r="D304" s="35"/>
      <c r="E304" s="33"/>
      <c r="F304" s="33"/>
      <c r="G304" s="33"/>
      <c r="H304" s="33"/>
      <c r="I304" s="34"/>
      <c r="J304" s="37"/>
      <c r="K304" s="33"/>
      <c r="L304" s="38"/>
      <c r="M304" s="37"/>
      <c r="N304" s="33"/>
      <c r="O304" s="33"/>
      <c r="P304" s="35"/>
      <c r="Q304" s="35"/>
      <c r="R304" s="51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</row>
    <row r="305" spans="1:214" x14ac:dyDescent="0.25">
      <c r="A305" s="61"/>
      <c r="B305" s="26"/>
      <c r="C305" s="32"/>
      <c r="D305" s="35"/>
      <c r="E305" s="33"/>
      <c r="F305" s="33"/>
      <c r="G305" s="33"/>
      <c r="H305" s="33"/>
      <c r="I305" s="34"/>
      <c r="J305" s="37"/>
      <c r="K305" s="33"/>
      <c r="L305" s="38"/>
      <c r="M305" s="37"/>
      <c r="N305" s="33"/>
      <c r="O305" s="33"/>
      <c r="P305" s="35"/>
      <c r="Q305" s="35"/>
      <c r="R305" s="51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</row>
    <row r="306" spans="1:214" x14ac:dyDescent="0.25">
      <c r="A306" s="61"/>
      <c r="B306" s="26"/>
      <c r="C306" s="32"/>
      <c r="D306" s="35"/>
      <c r="E306" s="33"/>
      <c r="F306" s="33"/>
      <c r="G306" s="33"/>
      <c r="H306" s="33"/>
      <c r="I306" s="34"/>
      <c r="J306" s="37"/>
      <c r="K306" s="33"/>
      <c r="L306" s="38"/>
      <c r="M306" s="37"/>
      <c r="N306" s="33"/>
      <c r="O306" s="33"/>
      <c r="P306" s="35"/>
      <c r="Q306" s="35"/>
      <c r="R306" s="51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</row>
    <row r="307" spans="1:214" x14ac:dyDescent="0.25">
      <c r="A307" s="61"/>
      <c r="B307" s="26"/>
      <c r="C307" s="32"/>
      <c r="D307" s="35"/>
      <c r="E307" s="33"/>
      <c r="F307" s="33"/>
      <c r="G307" s="33"/>
      <c r="H307" s="33"/>
      <c r="I307" s="34"/>
      <c r="J307" s="37"/>
      <c r="K307" s="33"/>
      <c r="L307" s="38"/>
      <c r="M307" s="37"/>
      <c r="N307" s="33"/>
      <c r="O307" s="33"/>
      <c r="P307" s="35"/>
      <c r="Q307" s="35"/>
      <c r="R307" s="51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</row>
    <row r="308" spans="1:214" x14ac:dyDescent="0.25">
      <c r="A308" s="61"/>
      <c r="B308" s="26"/>
      <c r="C308" s="32"/>
      <c r="D308" s="35"/>
      <c r="E308" s="33"/>
      <c r="F308" s="33"/>
      <c r="G308" s="33"/>
      <c r="H308" s="33"/>
      <c r="I308" s="34"/>
      <c r="J308" s="37"/>
      <c r="K308" s="33"/>
      <c r="L308" s="38"/>
      <c r="M308" s="37"/>
      <c r="N308" s="33"/>
      <c r="O308" s="33"/>
      <c r="P308" s="35"/>
      <c r="Q308" s="35"/>
      <c r="R308" s="51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</row>
    <row r="309" spans="1:214" x14ac:dyDescent="0.25">
      <c r="A309" s="61"/>
      <c r="B309" s="26"/>
      <c r="C309" s="32"/>
      <c r="D309" s="35"/>
      <c r="E309" s="33"/>
      <c r="F309" s="33"/>
      <c r="G309" s="33"/>
      <c r="H309" s="33"/>
      <c r="I309" s="34"/>
      <c r="J309" s="37"/>
      <c r="K309" s="33"/>
      <c r="L309" s="38"/>
      <c r="M309" s="37"/>
      <c r="N309" s="33"/>
      <c r="O309" s="33"/>
      <c r="P309" s="35"/>
      <c r="Q309" s="35"/>
      <c r="R309" s="51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</row>
    <row r="310" spans="1:214" x14ac:dyDescent="0.25">
      <c r="A310" s="61"/>
      <c r="B310" s="26"/>
      <c r="C310" s="32"/>
      <c r="D310" s="35"/>
      <c r="E310" s="33"/>
      <c r="F310" s="33"/>
      <c r="G310" s="33"/>
      <c r="H310" s="33"/>
      <c r="I310" s="34"/>
      <c r="J310" s="37"/>
      <c r="K310" s="33"/>
      <c r="L310" s="38"/>
      <c r="M310" s="37"/>
      <c r="N310" s="33"/>
      <c r="O310" s="33"/>
      <c r="P310" s="35"/>
      <c r="Q310" s="35"/>
      <c r="R310" s="51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</row>
    <row r="311" spans="1:214" x14ac:dyDescent="0.25">
      <c r="A311" s="61"/>
      <c r="B311" s="26"/>
      <c r="C311" s="32"/>
      <c r="D311" s="35"/>
      <c r="E311" s="33"/>
      <c r="F311" s="33"/>
      <c r="G311" s="33"/>
      <c r="H311" s="33"/>
      <c r="I311" s="34"/>
      <c r="J311" s="37"/>
      <c r="K311" s="33"/>
      <c r="L311" s="38"/>
      <c r="M311" s="37"/>
      <c r="N311" s="33"/>
      <c r="O311" s="33"/>
      <c r="P311" s="35"/>
      <c r="Q311" s="35"/>
      <c r="R311" s="51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</row>
    <row r="312" spans="1:214" x14ac:dyDescent="0.25">
      <c r="A312" s="61"/>
      <c r="B312" s="26"/>
      <c r="C312" s="32"/>
      <c r="D312" s="35"/>
      <c r="E312" s="33"/>
      <c r="F312" s="33"/>
      <c r="G312" s="33"/>
      <c r="H312" s="33"/>
      <c r="I312" s="34"/>
      <c r="J312" s="37"/>
      <c r="K312" s="33"/>
      <c r="L312" s="38"/>
      <c r="M312" s="37"/>
      <c r="N312" s="33"/>
      <c r="O312" s="33"/>
      <c r="P312" s="35"/>
      <c r="Q312" s="35"/>
      <c r="R312" s="51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</row>
    <row r="313" spans="1:214" x14ac:dyDescent="0.25">
      <c r="A313" s="61"/>
      <c r="B313" s="26"/>
      <c r="C313" s="32"/>
      <c r="D313" s="35"/>
      <c r="E313" s="33"/>
      <c r="F313" s="33"/>
      <c r="G313" s="33"/>
      <c r="H313" s="33"/>
      <c r="I313" s="34"/>
      <c r="J313" s="37"/>
      <c r="K313" s="33"/>
      <c r="L313" s="38"/>
      <c r="M313" s="37"/>
      <c r="N313" s="33"/>
      <c r="O313" s="33"/>
      <c r="P313" s="35"/>
      <c r="Q313" s="35"/>
      <c r="R313" s="51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</row>
    <row r="314" spans="1:214" x14ac:dyDescent="0.25">
      <c r="A314" s="61"/>
      <c r="B314" s="26"/>
      <c r="C314" s="32"/>
      <c r="D314" s="35"/>
      <c r="E314" s="33"/>
      <c r="F314" s="33"/>
      <c r="G314" s="33"/>
      <c r="H314" s="33"/>
      <c r="I314" s="34"/>
      <c r="J314" s="37"/>
      <c r="K314" s="33"/>
      <c r="L314" s="38"/>
      <c r="M314" s="37"/>
      <c r="N314" s="33"/>
      <c r="O314" s="33"/>
      <c r="P314" s="35"/>
      <c r="Q314" s="35"/>
      <c r="R314" s="51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</row>
    <row r="315" spans="1:214" x14ac:dyDescent="0.25">
      <c r="A315" s="61"/>
      <c r="B315" s="26"/>
      <c r="C315" s="32"/>
      <c r="D315" s="35"/>
      <c r="E315" s="33"/>
      <c r="F315" s="33"/>
      <c r="G315" s="33"/>
      <c r="H315" s="33"/>
      <c r="I315" s="34"/>
      <c r="J315" s="37"/>
      <c r="K315" s="33"/>
      <c r="L315" s="38"/>
      <c r="M315" s="37"/>
      <c r="N315" s="33"/>
      <c r="O315" s="33"/>
      <c r="P315" s="35"/>
      <c r="Q315" s="35"/>
      <c r="R315" s="51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</row>
    <row r="316" spans="1:214" x14ac:dyDescent="0.25">
      <c r="A316" s="61"/>
      <c r="B316" s="26"/>
      <c r="C316" s="32"/>
      <c r="D316" s="35"/>
      <c r="E316" s="33"/>
      <c r="F316" s="33"/>
      <c r="G316" s="33"/>
      <c r="H316" s="33"/>
      <c r="I316" s="34"/>
      <c r="J316" s="37"/>
      <c r="K316" s="33"/>
      <c r="L316" s="38"/>
      <c r="M316" s="37"/>
      <c r="N316" s="33"/>
      <c r="O316" s="33"/>
      <c r="P316" s="35"/>
      <c r="Q316" s="35"/>
      <c r="R316" s="51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</row>
    <row r="317" spans="1:214" x14ac:dyDescent="0.25">
      <c r="A317" s="61"/>
      <c r="B317" s="26"/>
      <c r="C317" s="32"/>
      <c r="D317" s="35"/>
      <c r="E317" s="33"/>
      <c r="F317" s="33"/>
      <c r="G317" s="33"/>
      <c r="H317" s="33"/>
      <c r="I317" s="34"/>
      <c r="J317" s="37"/>
      <c r="K317" s="33"/>
      <c r="L317" s="38"/>
      <c r="M317" s="37"/>
      <c r="N317" s="33"/>
      <c r="O317" s="33"/>
      <c r="P317" s="35"/>
      <c r="Q317" s="35"/>
      <c r="R317" s="51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</row>
    <row r="318" spans="1:214" x14ac:dyDescent="0.25">
      <c r="A318" s="61"/>
      <c r="B318" s="26"/>
      <c r="C318" s="32"/>
      <c r="D318" s="35"/>
      <c r="E318" s="33"/>
      <c r="F318" s="33"/>
      <c r="G318" s="33"/>
      <c r="H318" s="33"/>
      <c r="I318" s="34"/>
      <c r="J318" s="37"/>
      <c r="K318" s="33"/>
      <c r="L318" s="38"/>
      <c r="M318" s="37"/>
      <c r="N318" s="33"/>
      <c r="O318" s="33"/>
      <c r="P318" s="35"/>
      <c r="Q318" s="35"/>
      <c r="R318" s="51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</row>
    <row r="319" spans="1:214" x14ac:dyDescent="0.25">
      <c r="A319" s="61"/>
      <c r="B319" s="26"/>
      <c r="C319" s="32"/>
      <c r="D319" s="35"/>
      <c r="E319" s="33"/>
      <c r="F319" s="33"/>
      <c r="G319" s="33"/>
      <c r="H319" s="33"/>
      <c r="I319" s="34"/>
      <c r="J319" s="37"/>
      <c r="K319" s="33"/>
      <c r="L319" s="38"/>
      <c r="M319" s="37"/>
      <c r="N319" s="33"/>
      <c r="O319" s="33"/>
      <c r="P319" s="35"/>
      <c r="Q319" s="35"/>
      <c r="R319" s="51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</row>
    <row r="320" spans="1:214" x14ac:dyDescent="0.25">
      <c r="A320" s="61"/>
      <c r="B320" s="26"/>
      <c r="C320" s="32"/>
      <c r="D320" s="35"/>
      <c r="E320" s="33"/>
      <c r="F320" s="33"/>
      <c r="G320" s="33"/>
      <c r="H320" s="33"/>
      <c r="I320" s="34"/>
      <c r="J320" s="37"/>
      <c r="K320" s="33"/>
      <c r="L320" s="38"/>
      <c r="M320" s="37"/>
      <c r="N320" s="33"/>
      <c r="O320" s="33"/>
      <c r="P320" s="35"/>
      <c r="Q320" s="35"/>
      <c r="R320" s="51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</row>
    <row r="321" spans="1:214" x14ac:dyDescent="0.25">
      <c r="A321" s="61"/>
      <c r="B321" s="26"/>
      <c r="C321" s="32"/>
      <c r="D321" s="35"/>
      <c r="E321" s="33"/>
      <c r="F321" s="33"/>
      <c r="G321" s="33"/>
      <c r="H321" s="33"/>
      <c r="I321" s="34"/>
      <c r="J321" s="37"/>
      <c r="K321" s="33"/>
      <c r="L321" s="38"/>
      <c r="M321" s="37"/>
      <c r="N321" s="33"/>
      <c r="O321" s="33"/>
      <c r="P321" s="35"/>
      <c r="Q321" s="35"/>
      <c r="R321" s="51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</row>
    <row r="322" spans="1:214" x14ac:dyDescent="0.25">
      <c r="A322" s="61"/>
      <c r="B322" s="26"/>
      <c r="C322" s="32"/>
      <c r="D322" s="35"/>
      <c r="E322" s="33"/>
      <c r="F322" s="33"/>
      <c r="G322" s="33"/>
      <c r="H322" s="33"/>
      <c r="I322" s="34"/>
      <c r="J322" s="37"/>
      <c r="K322" s="33"/>
      <c r="L322" s="38"/>
      <c r="M322" s="37"/>
      <c r="N322" s="33"/>
      <c r="O322" s="33"/>
      <c r="P322" s="35"/>
      <c r="Q322" s="35"/>
      <c r="R322" s="51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</row>
    <row r="323" spans="1:214" x14ac:dyDescent="0.25">
      <c r="A323" s="61"/>
      <c r="B323" s="26"/>
      <c r="C323" s="32"/>
      <c r="D323" s="35"/>
      <c r="E323" s="33"/>
      <c r="F323" s="33"/>
      <c r="G323" s="33"/>
      <c r="H323" s="33"/>
      <c r="I323" s="34"/>
      <c r="J323" s="37"/>
      <c r="K323" s="33"/>
      <c r="L323" s="38"/>
      <c r="M323" s="37"/>
      <c r="N323" s="33"/>
      <c r="O323" s="33"/>
      <c r="P323" s="35"/>
      <c r="Q323" s="35"/>
      <c r="R323" s="51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</row>
    <row r="324" spans="1:214" x14ac:dyDescent="0.25">
      <c r="A324" s="61"/>
      <c r="B324" s="26"/>
      <c r="C324" s="32"/>
      <c r="D324" s="35"/>
      <c r="E324" s="33"/>
      <c r="F324" s="33"/>
      <c r="G324" s="33"/>
      <c r="H324" s="33"/>
      <c r="I324" s="34"/>
      <c r="J324" s="37"/>
      <c r="K324" s="33"/>
      <c r="L324" s="38"/>
      <c r="M324" s="37"/>
      <c r="N324" s="33"/>
      <c r="O324" s="33"/>
      <c r="P324" s="35"/>
      <c r="Q324" s="35"/>
      <c r="R324" s="51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</row>
    <row r="325" spans="1:214" x14ac:dyDescent="0.25">
      <c r="A325" s="61"/>
      <c r="B325" s="26"/>
      <c r="C325" s="32"/>
      <c r="D325" s="35"/>
      <c r="E325" s="33"/>
      <c r="F325" s="33"/>
      <c r="G325" s="33"/>
      <c r="H325" s="33"/>
      <c r="I325" s="34"/>
      <c r="J325" s="37"/>
      <c r="K325" s="33"/>
      <c r="L325" s="38"/>
      <c r="M325" s="37"/>
      <c r="N325" s="33"/>
      <c r="O325" s="33"/>
      <c r="P325" s="35"/>
      <c r="Q325" s="35"/>
      <c r="R325" s="51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</row>
    <row r="326" spans="1:214" x14ac:dyDescent="0.25">
      <c r="A326" s="61"/>
      <c r="B326" s="26"/>
      <c r="C326" s="32"/>
      <c r="D326" s="35"/>
      <c r="E326" s="33"/>
      <c r="F326" s="33"/>
      <c r="G326" s="33"/>
      <c r="H326" s="33"/>
      <c r="I326" s="34"/>
      <c r="J326" s="37"/>
      <c r="K326" s="33"/>
      <c r="L326" s="38"/>
      <c r="M326" s="37"/>
      <c r="N326" s="33"/>
      <c r="O326" s="33"/>
      <c r="P326" s="35"/>
      <c r="Q326" s="35"/>
      <c r="R326" s="51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</row>
    <row r="327" spans="1:214" x14ac:dyDescent="0.25">
      <c r="A327" s="61"/>
      <c r="B327" s="26"/>
      <c r="C327" s="32"/>
      <c r="D327" s="35"/>
      <c r="E327" s="33"/>
      <c r="F327" s="33"/>
      <c r="G327" s="33"/>
      <c r="H327" s="33"/>
      <c r="I327" s="34"/>
      <c r="J327" s="37"/>
      <c r="K327" s="33"/>
      <c r="L327" s="38"/>
      <c r="M327" s="37"/>
      <c r="N327" s="33"/>
      <c r="O327" s="33"/>
      <c r="P327" s="35"/>
      <c r="Q327" s="35"/>
      <c r="R327" s="51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</row>
    <row r="328" spans="1:214" x14ac:dyDescent="0.25">
      <c r="A328" s="61"/>
      <c r="B328" s="26"/>
      <c r="C328" s="32"/>
      <c r="D328" s="35"/>
      <c r="E328" s="33"/>
      <c r="F328" s="33"/>
      <c r="G328" s="33"/>
      <c r="H328" s="33"/>
      <c r="I328" s="34"/>
      <c r="J328" s="37"/>
      <c r="K328" s="33"/>
      <c r="L328" s="38"/>
      <c r="M328" s="37"/>
      <c r="N328" s="33"/>
      <c r="O328" s="33"/>
      <c r="P328" s="35"/>
      <c r="Q328" s="35"/>
      <c r="R328" s="51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</row>
    <row r="329" spans="1:214" x14ac:dyDescent="0.25">
      <c r="A329" s="61"/>
      <c r="B329" s="26"/>
      <c r="C329" s="32"/>
      <c r="D329" s="35"/>
      <c r="E329" s="33"/>
      <c r="F329" s="33"/>
      <c r="G329" s="33"/>
      <c r="H329" s="33"/>
      <c r="I329" s="34"/>
      <c r="J329" s="37"/>
      <c r="K329" s="33"/>
      <c r="L329" s="38"/>
      <c r="M329" s="37"/>
      <c r="N329" s="33"/>
      <c r="O329" s="33"/>
      <c r="P329" s="35"/>
      <c r="Q329" s="35"/>
      <c r="R329" s="51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</row>
    <row r="330" spans="1:214" x14ac:dyDescent="0.25">
      <c r="A330" s="61"/>
      <c r="B330" s="26"/>
      <c r="C330" s="32"/>
      <c r="D330" s="35"/>
      <c r="E330" s="33"/>
      <c r="F330" s="33"/>
      <c r="G330" s="33"/>
      <c r="H330" s="33"/>
      <c r="I330" s="34"/>
      <c r="J330" s="37"/>
      <c r="K330" s="33"/>
      <c r="L330" s="38"/>
      <c r="M330" s="37"/>
      <c r="N330" s="33"/>
      <c r="O330" s="33"/>
      <c r="P330" s="35"/>
      <c r="Q330" s="35"/>
      <c r="R330" s="51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</row>
    <row r="331" spans="1:214" x14ac:dyDescent="0.25">
      <c r="A331" s="61"/>
      <c r="B331" s="26"/>
      <c r="C331" s="32"/>
      <c r="D331" s="35"/>
      <c r="E331" s="33"/>
      <c r="F331" s="33"/>
      <c r="G331" s="33"/>
      <c r="H331" s="33"/>
      <c r="I331" s="34"/>
      <c r="J331" s="37"/>
      <c r="K331" s="33"/>
      <c r="L331" s="38"/>
      <c r="M331" s="37"/>
      <c r="N331" s="33"/>
      <c r="O331" s="33"/>
      <c r="P331" s="35"/>
      <c r="Q331" s="35"/>
      <c r="R331" s="51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</row>
    <row r="332" spans="1:214" x14ac:dyDescent="0.25">
      <c r="A332" s="61"/>
      <c r="B332" s="26"/>
      <c r="C332" s="32"/>
      <c r="D332" s="35"/>
      <c r="E332" s="33"/>
      <c r="F332" s="33"/>
      <c r="G332" s="33"/>
      <c r="H332" s="33"/>
      <c r="I332" s="34"/>
      <c r="J332" s="37"/>
      <c r="K332" s="33"/>
      <c r="L332" s="38"/>
      <c r="M332" s="37"/>
      <c r="N332" s="33"/>
      <c r="O332" s="33"/>
      <c r="P332" s="35"/>
      <c r="Q332" s="35"/>
      <c r="R332" s="51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</row>
    <row r="333" spans="1:214" x14ac:dyDescent="0.25">
      <c r="A333" s="61"/>
      <c r="B333" s="26"/>
      <c r="C333" s="32"/>
      <c r="D333" s="35"/>
      <c r="E333" s="33"/>
      <c r="F333" s="33"/>
      <c r="G333" s="33"/>
      <c r="H333" s="33"/>
      <c r="I333" s="34"/>
      <c r="J333" s="37"/>
      <c r="K333" s="33"/>
      <c r="L333" s="38"/>
      <c r="M333" s="37"/>
      <c r="N333" s="33"/>
      <c r="O333" s="33"/>
      <c r="P333" s="35"/>
      <c r="Q333" s="35"/>
      <c r="R333" s="51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</row>
    <row r="334" spans="1:214" x14ac:dyDescent="0.25">
      <c r="A334" s="61"/>
      <c r="B334" s="26"/>
      <c r="C334" s="32"/>
      <c r="D334" s="35"/>
      <c r="E334" s="33"/>
      <c r="F334" s="33"/>
      <c r="G334" s="33"/>
      <c r="H334" s="33"/>
      <c r="I334" s="34"/>
      <c r="J334" s="37"/>
      <c r="K334" s="33"/>
      <c r="L334" s="38"/>
      <c r="M334" s="37"/>
      <c r="N334" s="33"/>
      <c r="O334" s="33"/>
      <c r="P334" s="35"/>
      <c r="Q334" s="35"/>
      <c r="R334" s="51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</row>
    <row r="335" spans="1:214" x14ac:dyDescent="0.25">
      <c r="A335" s="61"/>
      <c r="B335" s="26"/>
      <c r="C335" s="32"/>
      <c r="D335" s="35"/>
      <c r="E335" s="33"/>
      <c r="F335" s="33"/>
      <c r="G335" s="33"/>
      <c r="H335" s="33"/>
      <c r="I335" s="34"/>
      <c r="J335" s="37"/>
      <c r="K335" s="33"/>
      <c r="L335" s="38"/>
      <c r="M335" s="37"/>
      <c r="N335" s="33"/>
      <c r="O335" s="33"/>
      <c r="P335" s="35"/>
      <c r="Q335" s="35"/>
      <c r="R335" s="51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</row>
    <row r="336" spans="1:214" x14ac:dyDescent="0.25">
      <c r="A336" s="61"/>
      <c r="B336" s="26"/>
      <c r="C336" s="32"/>
      <c r="D336" s="35"/>
      <c r="E336" s="33"/>
      <c r="F336" s="33"/>
      <c r="G336" s="33"/>
      <c r="H336" s="33"/>
      <c r="I336" s="34"/>
      <c r="J336" s="37"/>
      <c r="K336" s="33"/>
      <c r="L336" s="38"/>
      <c r="M336" s="37"/>
      <c r="N336" s="33"/>
      <c r="O336" s="33"/>
      <c r="P336" s="35"/>
      <c r="Q336" s="35"/>
      <c r="R336" s="51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</row>
    <row r="337" spans="1:214" x14ac:dyDescent="0.25">
      <c r="A337" s="61"/>
      <c r="B337" s="26"/>
      <c r="C337" s="32"/>
      <c r="D337" s="35"/>
      <c r="E337" s="33"/>
      <c r="F337" s="33"/>
      <c r="G337" s="33"/>
      <c r="H337" s="33"/>
      <c r="I337" s="34"/>
      <c r="J337" s="37"/>
      <c r="K337" s="33"/>
      <c r="L337" s="38"/>
      <c r="M337" s="37"/>
      <c r="N337" s="33"/>
      <c r="O337" s="33"/>
      <c r="P337" s="35"/>
      <c r="Q337" s="35"/>
      <c r="R337" s="51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</row>
    <row r="338" spans="1:214" x14ac:dyDescent="0.25">
      <c r="A338" s="61"/>
      <c r="B338" s="26"/>
      <c r="C338" s="32"/>
      <c r="D338" s="35"/>
      <c r="E338" s="33"/>
      <c r="F338" s="33"/>
      <c r="G338" s="33"/>
      <c r="H338" s="33"/>
      <c r="I338" s="34"/>
      <c r="J338" s="37"/>
      <c r="K338" s="33"/>
      <c r="L338" s="38"/>
      <c r="M338" s="37"/>
      <c r="N338" s="33"/>
      <c r="O338" s="33"/>
      <c r="P338" s="35"/>
      <c r="Q338" s="35"/>
      <c r="R338" s="51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</row>
    <row r="339" spans="1:214" x14ac:dyDescent="0.25">
      <c r="A339" s="61"/>
      <c r="B339" s="26"/>
      <c r="C339" s="32"/>
      <c r="D339" s="35"/>
      <c r="E339" s="33"/>
      <c r="F339" s="33"/>
      <c r="G339" s="33"/>
      <c r="H339" s="33"/>
      <c r="I339" s="34"/>
      <c r="J339" s="37"/>
      <c r="K339" s="33"/>
      <c r="L339" s="38"/>
      <c r="M339" s="37"/>
      <c r="N339" s="33"/>
      <c r="O339" s="33"/>
      <c r="P339" s="35"/>
      <c r="Q339" s="35"/>
      <c r="R339" s="51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</row>
    <row r="340" spans="1:214" x14ac:dyDescent="0.25">
      <c r="A340" s="61"/>
      <c r="B340" s="26"/>
      <c r="C340" s="32"/>
      <c r="D340" s="35"/>
      <c r="E340" s="33"/>
      <c r="F340" s="33"/>
      <c r="G340" s="33"/>
      <c r="H340" s="33"/>
      <c r="I340" s="34"/>
      <c r="J340" s="37"/>
      <c r="K340" s="33"/>
      <c r="L340" s="38"/>
      <c r="M340" s="37"/>
      <c r="N340" s="33"/>
      <c r="O340" s="33"/>
      <c r="P340" s="35"/>
      <c r="Q340" s="35"/>
      <c r="R340" s="51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</row>
    <row r="341" spans="1:214" x14ac:dyDescent="0.25">
      <c r="A341" s="61"/>
      <c r="B341" s="26"/>
      <c r="C341" s="32"/>
      <c r="D341" s="35"/>
      <c r="E341" s="33"/>
      <c r="F341" s="33"/>
      <c r="G341" s="33"/>
      <c r="H341" s="33"/>
      <c r="I341" s="34"/>
      <c r="J341" s="37"/>
      <c r="K341" s="33"/>
      <c r="L341" s="38"/>
      <c r="M341" s="37"/>
      <c r="N341" s="33"/>
      <c r="O341" s="33"/>
      <c r="P341" s="35"/>
      <c r="Q341" s="35"/>
      <c r="R341" s="51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</row>
    <row r="342" spans="1:214" x14ac:dyDescent="0.25">
      <c r="A342" s="61"/>
      <c r="B342" s="26"/>
      <c r="C342" s="32"/>
      <c r="D342" s="35"/>
      <c r="E342" s="33"/>
      <c r="F342" s="33"/>
      <c r="G342" s="33"/>
      <c r="H342" s="33"/>
      <c r="I342" s="34"/>
      <c r="J342" s="37"/>
      <c r="K342" s="33"/>
      <c r="L342" s="38"/>
      <c r="M342" s="37"/>
      <c r="N342" s="33"/>
      <c r="O342" s="33"/>
      <c r="P342" s="35"/>
      <c r="Q342" s="35"/>
      <c r="R342" s="51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</row>
    <row r="343" spans="1:214" x14ac:dyDescent="0.25">
      <c r="A343" s="61"/>
      <c r="B343" s="26"/>
      <c r="C343" s="32"/>
      <c r="D343" s="35"/>
      <c r="E343" s="33"/>
      <c r="F343" s="33"/>
      <c r="G343" s="33"/>
      <c r="H343" s="33"/>
      <c r="I343" s="34"/>
      <c r="J343" s="37"/>
      <c r="K343" s="33"/>
      <c r="L343" s="38"/>
      <c r="M343" s="37"/>
      <c r="N343" s="33"/>
      <c r="O343" s="33"/>
      <c r="P343" s="35"/>
      <c r="Q343" s="35"/>
      <c r="R343" s="51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</row>
    <row r="344" spans="1:214" x14ac:dyDescent="0.25">
      <c r="A344" s="61"/>
      <c r="B344" s="26"/>
      <c r="C344" s="32"/>
      <c r="D344" s="35"/>
      <c r="E344" s="33"/>
      <c r="F344" s="33"/>
      <c r="G344" s="33"/>
      <c r="H344" s="33"/>
      <c r="I344" s="34"/>
      <c r="J344" s="37"/>
      <c r="K344" s="33"/>
      <c r="L344" s="38"/>
      <c r="M344" s="37"/>
      <c r="N344" s="33"/>
      <c r="O344" s="33"/>
      <c r="P344" s="35"/>
      <c r="Q344" s="35"/>
      <c r="R344" s="51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</row>
    <row r="345" spans="1:214" x14ac:dyDescent="0.25">
      <c r="A345" s="61"/>
      <c r="B345" s="26"/>
      <c r="C345" s="32"/>
      <c r="D345" s="35"/>
      <c r="E345" s="33"/>
      <c r="F345" s="33"/>
      <c r="G345" s="33"/>
      <c r="H345" s="33"/>
      <c r="I345" s="34"/>
      <c r="J345" s="37"/>
      <c r="K345" s="33"/>
      <c r="L345" s="38"/>
      <c r="M345" s="37"/>
      <c r="N345" s="33"/>
      <c r="O345" s="33"/>
      <c r="P345" s="35"/>
      <c r="Q345" s="35"/>
      <c r="R345" s="51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</row>
    <row r="346" spans="1:214" x14ac:dyDescent="0.25">
      <c r="A346" s="61"/>
      <c r="B346" s="26"/>
      <c r="C346" s="32"/>
      <c r="D346" s="35"/>
      <c r="E346" s="33"/>
      <c r="F346" s="33"/>
      <c r="G346" s="33"/>
      <c r="H346" s="33"/>
      <c r="I346" s="34"/>
      <c r="J346" s="37"/>
      <c r="K346" s="33"/>
      <c r="L346" s="38"/>
      <c r="M346" s="37"/>
      <c r="N346" s="33"/>
      <c r="O346" s="33"/>
      <c r="P346" s="35"/>
      <c r="Q346" s="35"/>
      <c r="R346" s="51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</row>
    <row r="347" spans="1:214" x14ac:dyDescent="0.25">
      <c r="A347" s="61"/>
      <c r="B347" s="26"/>
      <c r="C347" s="32"/>
      <c r="D347" s="35"/>
      <c r="E347" s="33"/>
      <c r="F347" s="33"/>
      <c r="G347" s="33"/>
      <c r="H347" s="33"/>
      <c r="I347" s="34"/>
      <c r="J347" s="37"/>
      <c r="K347" s="33"/>
      <c r="L347" s="38"/>
      <c r="M347" s="37"/>
      <c r="N347" s="33"/>
      <c r="O347" s="33"/>
      <c r="P347" s="35"/>
      <c r="Q347" s="35"/>
      <c r="R347" s="51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</row>
    <row r="348" spans="1:214" x14ac:dyDescent="0.25">
      <c r="A348" s="61"/>
      <c r="B348" s="26"/>
      <c r="C348" s="32"/>
      <c r="D348" s="35"/>
      <c r="E348" s="33"/>
      <c r="F348" s="33"/>
      <c r="G348" s="33"/>
      <c r="H348" s="33"/>
      <c r="I348" s="34"/>
      <c r="J348" s="37"/>
      <c r="K348" s="33"/>
      <c r="L348" s="38"/>
      <c r="M348" s="37"/>
      <c r="N348" s="33"/>
      <c r="O348" s="33"/>
      <c r="P348" s="35"/>
      <c r="Q348" s="35"/>
      <c r="R348" s="51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</row>
    <row r="349" spans="1:214" x14ac:dyDescent="0.25">
      <c r="A349" s="61"/>
      <c r="B349" s="26"/>
      <c r="C349" s="32"/>
      <c r="D349" s="35"/>
      <c r="E349" s="33"/>
      <c r="F349" s="33"/>
      <c r="G349" s="33"/>
      <c r="H349" s="33"/>
      <c r="I349" s="34"/>
      <c r="J349" s="37"/>
      <c r="K349" s="33"/>
      <c r="L349" s="38"/>
      <c r="M349" s="37"/>
      <c r="N349" s="33"/>
      <c r="O349" s="33"/>
      <c r="P349" s="35"/>
      <c r="Q349" s="35"/>
      <c r="R349" s="51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</row>
    <row r="350" spans="1:214" x14ac:dyDescent="0.25">
      <c r="A350" s="61"/>
      <c r="B350" s="26"/>
      <c r="C350" s="32"/>
      <c r="D350" s="35"/>
      <c r="E350" s="33"/>
      <c r="F350" s="33"/>
      <c r="G350" s="33"/>
      <c r="H350" s="33"/>
      <c r="I350" s="34"/>
      <c r="J350" s="37"/>
      <c r="K350" s="33"/>
      <c r="L350" s="38"/>
      <c r="M350" s="37"/>
      <c r="N350" s="33"/>
      <c r="O350" s="33"/>
      <c r="P350" s="35"/>
      <c r="Q350" s="35"/>
      <c r="R350" s="51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</row>
    <row r="351" spans="1:214" x14ac:dyDescent="0.25">
      <c r="A351" s="61"/>
      <c r="B351" s="26"/>
      <c r="C351" s="32"/>
      <c r="D351" s="35"/>
      <c r="E351" s="33"/>
      <c r="F351" s="33"/>
      <c r="G351" s="33"/>
      <c r="H351" s="33"/>
      <c r="I351" s="34"/>
      <c r="J351" s="37"/>
      <c r="K351" s="33"/>
      <c r="L351" s="38"/>
      <c r="M351" s="37"/>
      <c r="N351" s="33"/>
      <c r="O351" s="33"/>
      <c r="P351" s="35"/>
      <c r="Q351" s="35"/>
      <c r="R351" s="51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</row>
    <row r="352" spans="1:214" x14ac:dyDescent="0.25">
      <c r="A352" s="61"/>
      <c r="B352" s="26"/>
      <c r="C352" s="32"/>
      <c r="D352" s="35"/>
      <c r="E352" s="33"/>
      <c r="F352" s="33"/>
      <c r="G352" s="33"/>
      <c r="H352" s="33"/>
      <c r="I352" s="34"/>
      <c r="J352" s="37"/>
      <c r="K352" s="33"/>
      <c r="L352" s="38"/>
      <c r="M352" s="37"/>
      <c r="N352" s="33"/>
      <c r="O352" s="33"/>
      <c r="P352" s="35"/>
      <c r="Q352" s="35"/>
      <c r="R352" s="51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</row>
    <row r="353" spans="1:214" x14ac:dyDescent="0.25">
      <c r="A353" s="61"/>
      <c r="B353" s="26"/>
      <c r="C353" s="32"/>
      <c r="D353" s="35"/>
      <c r="E353" s="33"/>
      <c r="F353" s="33"/>
      <c r="G353" s="33"/>
      <c r="H353" s="33"/>
      <c r="I353" s="34"/>
      <c r="J353" s="37"/>
      <c r="K353" s="33"/>
      <c r="L353" s="38"/>
      <c r="M353" s="37"/>
      <c r="N353" s="33"/>
      <c r="O353" s="33"/>
      <c r="P353" s="35"/>
      <c r="Q353" s="35"/>
      <c r="R353" s="51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</row>
    <row r="354" spans="1:214" x14ac:dyDescent="0.25">
      <c r="A354" s="61"/>
      <c r="B354" s="26"/>
      <c r="C354" s="32"/>
      <c r="D354" s="35"/>
      <c r="E354" s="33"/>
      <c r="F354" s="33"/>
      <c r="G354" s="33"/>
      <c r="H354" s="33"/>
      <c r="I354" s="34"/>
      <c r="J354" s="37"/>
      <c r="K354" s="33"/>
      <c r="L354" s="38"/>
      <c r="M354" s="37"/>
      <c r="N354" s="33"/>
      <c r="O354" s="33"/>
      <c r="P354" s="35"/>
      <c r="Q354" s="35"/>
      <c r="R354" s="51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</row>
    <row r="355" spans="1:214" x14ac:dyDescent="0.25">
      <c r="A355" s="61"/>
      <c r="B355" s="26"/>
      <c r="C355" s="32"/>
      <c r="D355" s="35"/>
      <c r="E355" s="33"/>
      <c r="F355" s="33"/>
      <c r="G355" s="33"/>
      <c r="H355" s="33"/>
      <c r="I355" s="34"/>
      <c r="J355" s="37"/>
      <c r="K355" s="33"/>
      <c r="L355" s="38"/>
      <c r="M355" s="37"/>
      <c r="N355" s="33"/>
      <c r="O355" s="33"/>
      <c r="P355" s="35"/>
      <c r="Q355" s="35"/>
      <c r="R355" s="51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</row>
    <row r="356" spans="1:214" x14ac:dyDescent="0.25">
      <c r="A356" s="61"/>
      <c r="B356" s="26"/>
      <c r="C356" s="32"/>
      <c r="D356" s="35"/>
      <c r="E356" s="33"/>
      <c r="F356" s="33"/>
      <c r="G356" s="33"/>
      <c r="H356" s="33"/>
      <c r="I356" s="34"/>
      <c r="J356" s="37"/>
      <c r="K356" s="33"/>
      <c r="L356" s="38"/>
      <c r="M356" s="37"/>
      <c r="N356" s="33"/>
      <c r="O356" s="33"/>
      <c r="P356" s="35"/>
      <c r="Q356" s="35"/>
      <c r="R356" s="51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</row>
    <row r="357" spans="1:214" x14ac:dyDescent="0.25">
      <c r="A357" s="61"/>
      <c r="B357" s="26"/>
      <c r="C357" s="32"/>
      <c r="D357" s="35"/>
      <c r="E357" s="33"/>
      <c r="F357" s="33"/>
      <c r="G357" s="33"/>
      <c r="H357" s="33"/>
      <c r="I357" s="34"/>
      <c r="J357" s="37"/>
      <c r="K357" s="33"/>
      <c r="L357" s="38"/>
      <c r="M357" s="37"/>
      <c r="N357" s="33"/>
      <c r="O357" s="33"/>
      <c r="P357" s="35"/>
      <c r="Q357" s="35"/>
      <c r="R357" s="51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</row>
    <row r="358" spans="1:214" x14ac:dyDescent="0.25">
      <c r="A358" s="61"/>
      <c r="B358" s="26"/>
      <c r="C358" s="32"/>
      <c r="D358" s="35"/>
      <c r="E358" s="33"/>
      <c r="F358" s="33"/>
      <c r="G358" s="33"/>
      <c r="H358" s="33"/>
      <c r="I358" s="34"/>
      <c r="J358" s="37"/>
      <c r="K358" s="33"/>
      <c r="L358" s="38"/>
      <c r="M358" s="37"/>
      <c r="N358" s="33"/>
      <c r="O358" s="33"/>
      <c r="P358" s="35"/>
      <c r="Q358" s="35"/>
      <c r="R358" s="51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</row>
    <row r="359" spans="1:214" x14ac:dyDescent="0.25">
      <c r="A359" s="61"/>
      <c r="B359" s="26"/>
      <c r="C359" s="32"/>
      <c r="D359" s="35"/>
      <c r="E359" s="33"/>
      <c r="F359" s="33"/>
      <c r="G359" s="33"/>
      <c r="H359" s="33"/>
      <c r="I359" s="34"/>
      <c r="J359" s="37"/>
      <c r="K359" s="33"/>
      <c r="L359" s="38"/>
      <c r="M359" s="37"/>
      <c r="N359" s="33"/>
      <c r="O359" s="33"/>
      <c r="P359" s="35"/>
      <c r="Q359" s="35"/>
      <c r="R359" s="51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</row>
    <row r="360" spans="1:214" x14ac:dyDescent="0.25">
      <c r="A360" s="61"/>
      <c r="B360" s="26"/>
      <c r="C360" s="32"/>
      <c r="D360" s="35"/>
      <c r="E360" s="33"/>
      <c r="F360" s="33"/>
      <c r="G360" s="33"/>
      <c r="H360" s="33"/>
      <c r="I360" s="34"/>
      <c r="J360" s="37"/>
      <c r="K360" s="33"/>
      <c r="L360" s="38"/>
      <c r="M360" s="37"/>
      <c r="N360" s="33"/>
      <c r="O360" s="33"/>
      <c r="P360" s="35"/>
      <c r="Q360" s="35"/>
      <c r="R360" s="51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</row>
  </sheetData>
  <conditionalFormatting sqref="B4:R87">
    <cfRule type="expression" dxfId="7" priority="4">
      <formula>MOD(ROW(),2)=0</formula>
    </cfRule>
  </conditionalFormatting>
  <conditionalFormatting sqref="B119:R360">
    <cfRule type="expression" dxfId="6" priority="12">
      <formula>MOD(ROW(),2)=0</formula>
    </cfRule>
  </conditionalFormatting>
  <conditionalFormatting sqref="J4:K87">
    <cfRule type="expression" dxfId="5" priority="3">
      <formula>AND(NOT($J4=""),NOT($K4=""))</formula>
    </cfRule>
  </conditionalFormatting>
  <conditionalFormatting sqref="J119:K360">
    <cfRule type="expression" dxfId="4" priority="11">
      <formula>AND(NOT($J119=""),NOT($K119=""))</formula>
    </cfRule>
  </conditionalFormatting>
  <conditionalFormatting sqref="L4:M87">
    <cfRule type="expression" dxfId="3" priority="2">
      <formula>AND(NOT($L4=""),NOT($M4=""))</formula>
    </cfRule>
  </conditionalFormatting>
  <conditionalFormatting sqref="L119:M360">
    <cfRule type="expression" dxfId="2" priority="10">
      <formula>AND(NOT($L119=""),NOT($M119=""))</formula>
    </cfRule>
  </conditionalFormatting>
  <conditionalFormatting sqref="N4:O87">
    <cfRule type="expression" dxfId="1" priority="1">
      <formula>AND(NOT($N4=""),NOT($O4=""))</formula>
    </cfRule>
  </conditionalFormatting>
  <conditionalFormatting sqref="N119:O360">
    <cfRule type="expression" dxfId="0" priority="9">
      <formula>AND(NOT($N119=""),NOT($O119=""))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FD304"/>
  <sheetViews>
    <sheetView zoomScaleNormal="100" workbookViewId="0">
      <selection activeCell="C28" sqref="C28"/>
    </sheetView>
  </sheetViews>
  <sheetFormatPr baseColWidth="10" defaultColWidth="11.42578125" defaultRowHeight="15" x14ac:dyDescent="0.25"/>
  <cols>
    <col min="1" max="1" width="3.7109375" style="1" customWidth="1"/>
    <col min="2" max="2" width="18.42578125" style="2" bestFit="1" customWidth="1"/>
    <col min="3" max="3" width="18.42578125" style="2" customWidth="1"/>
    <col min="4" max="4" width="17.42578125" style="1" bestFit="1" customWidth="1"/>
    <col min="5" max="5" width="15.28515625" style="2" bestFit="1" customWidth="1"/>
    <col min="6" max="6" width="17.28515625" style="2" bestFit="1" customWidth="1"/>
    <col min="7" max="7" width="21" style="2" bestFit="1" customWidth="1"/>
    <col min="8" max="11" width="18.28515625" style="2" bestFit="1" customWidth="1"/>
    <col min="12" max="14" width="15.28515625" style="2" bestFit="1" customWidth="1"/>
    <col min="15" max="15" width="20.7109375" style="3" customWidth="1"/>
    <col min="16" max="19" width="20.7109375" style="2" customWidth="1"/>
    <col min="20" max="36" width="20.7109375" style="3" customWidth="1"/>
    <col min="37" max="16384" width="11.42578125" style="3"/>
  </cols>
  <sheetData>
    <row r="2" spans="1:160" s="56" customFormat="1" ht="32.25" thickBot="1" x14ac:dyDescent="0.3">
      <c r="A2" s="53"/>
      <c r="B2" s="43" t="str">
        <f>IF(Tabelle1!$A$1=1,"PRODUKT",IF(Tabelle1!$A$1=2,"PRODUCT"))</f>
        <v>PRODUKT</v>
      </c>
      <c r="C2" s="43" t="str">
        <f>IF(Tabelle1!$A$1=1,"TYP",IF(Tabelle1!$A$1=2,"TYPE"))</f>
        <v>TYP</v>
      </c>
      <c r="D2" s="43" t="str">
        <f>IF(Tabelle1!$A$1=1,"AC LEISTUNG",IF(Tabelle1!$A$1=2,"AC POWER"))</f>
        <v>AC LEISTUNG</v>
      </c>
      <c r="E2" s="44" t="str">
        <f>IF(Tabelle1!$A$1=1,"ANZAHL MPPT's",IF(Tabelle1!$A$1=2,"NUMBER OF MPPT's"))</f>
        <v>ANZAHL MPPT's</v>
      </c>
      <c r="F2" s="44" t="str">
        <f>IF(Tabelle1!$A$1=1,"PV LEISTUNG",IF(Tabelle1!$A$1=2,"PV POWER"))</f>
        <v>PV LEISTUNG</v>
      </c>
      <c r="G2" s="44" t="str">
        <f>IF(Tabelle1!$A$1=1,"PV LEISTUNG /MPPT",IF(Tabelle1!$A$1=2,"PV POWER /MPPT"))</f>
        <v>PV LEISTUNG /MPPT</v>
      </c>
      <c r="H2" s="44" t="s">
        <v>55</v>
      </c>
      <c r="I2" s="44" t="s">
        <v>54</v>
      </c>
      <c r="J2" s="44" t="s">
        <v>53</v>
      </c>
      <c r="K2" s="44" t="s">
        <v>52</v>
      </c>
      <c r="L2" s="44" t="s">
        <v>19</v>
      </c>
      <c r="M2" s="44" t="s">
        <v>78</v>
      </c>
      <c r="N2" s="44" t="s">
        <v>20</v>
      </c>
      <c r="O2" s="54"/>
      <c r="P2" s="55"/>
      <c r="Q2" s="55"/>
      <c r="R2" s="55"/>
      <c r="S2" s="55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</row>
    <row r="3" spans="1:160" ht="16.5" thickTop="1" thickBot="1" x14ac:dyDescent="0.3">
      <c r="B3" s="69"/>
      <c r="C3" s="60"/>
      <c r="D3" s="60" t="s">
        <v>22</v>
      </c>
      <c r="E3" s="60"/>
      <c r="F3" s="60" t="s">
        <v>21</v>
      </c>
      <c r="G3" s="60" t="s">
        <v>22</v>
      </c>
      <c r="H3" s="60" t="s">
        <v>23</v>
      </c>
      <c r="I3" s="60" t="s">
        <v>23</v>
      </c>
      <c r="J3" s="60" t="s">
        <v>23</v>
      </c>
      <c r="K3" s="60" t="s">
        <v>23</v>
      </c>
      <c r="L3" s="60" t="s">
        <v>24</v>
      </c>
      <c r="M3" s="60" t="s">
        <v>24</v>
      </c>
      <c r="N3" s="60" t="s">
        <v>24</v>
      </c>
      <c r="O3" s="57"/>
      <c r="P3" s="49" t="s">
        <v>1</v>
      </c>
    </row>
    <row r="4" spans="1:160" ht="15.75" thickTop="1" x14ac:dyDescent="0.25">
      <c r="B4" s="45" t="s">
        <v>85</v>
      </c>
      <c r="C4" s="45" t="s">
        <v>0</v>
      </c>
      <c r="D4" s="58">
        <v>10</v>
      </c>
      <c r="E4" s="46">
        <v>2</v>
      </c>
      <c r="F4" s="58">
        <v>15</v>
      </c>
      <c r="G4" s="59">
        <v>10</v>
      </c>
      <c r="H4" s="58">
        <v>210</v>
      </c>
      <c r="I4" s="58">
        <v>800</v>
      </c>
      <c r="J4" s="58">
        <v>250</v>
      </c>
      <c r="K4" s="59">
        <v>900</v>
      </c>
      <c r="L4" s="58">
        <v>15</v>
      </c>
      <c r="M4" s="58">
        <v>18.600000000000001</v>
      </c>
      <c r="N4" s="58">
        <v>25</v>
      </c>
      <c r="O4" s="5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</row>
    <row r="5" spans="1:160" x14ac:dyDescent="0.25">
      <c r="B5" s="45" t="s">
        <v>86</v>
      </c>
      <c r="C5" s="45" t="s">
        <v>0</v>
      </c>
      <c r="D5" s="58">
        <v>10</v>
      </c>
      <c r="E5" s="46">
        <v>2</v>
      </c>
      <c r="F5" s="58">
        <v>15</v>
      </c>
      <c r="G5" s="59">
        <v>10</v>
      </c>
      <c r="H5" s="58">
        <v>350</v>
      </c>
      <c r="I5" s="58">
        <v>800</v>
      </c>
      <c r="J5" s="58">
        <v>350</v>
      </c>
      <c r="K5" s="59">
        <v>900</v>
      </c>
      <c r="L5" s="58">
        <v>18.600000000000001</v>
      </c>
      <c r="M5" s="58">
        <v>18.600000000000001</v>
      </c>
      <c r="N5" s="58">
        <v>25</v>
      </c>
      <c r="O5" s="5"/>
      <c r="P5" s="4"/>
      <c r="Q5" s="4"/>
      <c r="R5" s="4"/>
      <c r="S5" s="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</row>
    <row r="6" spans="1:160" x14ac:dyDescent="0.25">
      <c r="B6" s="45" t="s">
        <v>87</v>
      </c>
      <c r="C6" s="45" t="s">
        <v>0</v>
      </c>
      <c r="D6" s="58">
        <v>10</v>
      </c>
      <c r="E6" s="46">
        <v>2</v>
      </c>
      <c r="F6" s="58">
        <v>15</v>
      </c>
      <c r="G6" s="59">
        <v>10</v>
      </c>
      <c r="H6" s="58">
        <v>135</v>
      </c>
      <c r="I6" s="58">
        <v>850</v>
      </c>
      <c r="J6" s="58">
        <v>165</v>
      </c>
      <c r="K6" s="59">
        <v>1000</v>
      </c>
      <c r="L6" s="58">
        <v>30</v>
      </c>
      <c r="M6" s="58">
        <v>30</v>
      </c>
      <c r="N6" s="58">
        <v>40</v>
      </c>
      <c r="O6" s="5"/>
      <c r="P6" s="4"/>
      <c r="Q6" s="4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</row>
    <row r="7" spans="1:160" x14ac:dyDescent="0.25">
      <c r="B7" s="45" t="s">
        <v>88</v>
      </c>
      <c r="C7" s="45" t="s">
        <v>0</v>
      </c>
      <c r="D7" s="58">
        <v>20</v>
      </c>
      <c r="E7" s="46">
        <v>2</v>
      </c>
      <c r="F7" s="58">
        <v>30</v>
      </c>
      <c r="G7" s="59">
        <v>20</v>
      </c>
      <c r="H7" s="58">
        <v>135</v>
      </c>
      <c r="I7" s="58">
        <v>850</v>
      </c>
      <c r="J7" s="58">
        <v>165</v>
      </c>
      <c r="K7" s="59">
        <v>1000</v>
      </c>
      <c r="L7" s="58">
        <v>30</v>
      </c>
      <c r="M7" s="58">
        <v>30</v>
      </c>
      <c r="N7" s="58">
        <v>40</v>
      </c>
      <c r="O7" s="5"/>
      <c r="P7" s="4"/>
      <c r="Q7" s="4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</row>
    <row r="8" spans="1:160" x14ac:dyDescent="0.25">
      <c r="B8" s="45" t="s">
        <v>89</v>
      </c>
      <c r="C8" s="45" t="s">
        <v>0</v>
      </c>
      <c r="D8" s="58">
        <v>30</v>
      </c>
      <c r="E8" s="46">
        <v>4</v>
      </c>
      <c r="F8" s="58">
        <v>45</v>
      </c>
      <c r="G8" s="59">
        <v>20</v>
      </c>
      <c r="H8" s="58">
        <v>200</v>
      </c>
      <c r="I8" s="58">
        <v>850</v>
      </c>
      <c r="J8" s="58">
        <v>230</v>
      </c>
      <c r="K8" s="59">
        <v>1000</v>
      </c>
      <c r="L8" s="58">
        <v>30</v>
      </c>
      <c r="M8" s="58">
        <v>30</v>
      </c>
      <c r="N8" s="58">
        <v>40</v>
      </c>
      <c r="O8" s="5"/>
      <c r="P8" s="4"/>
      <c r="Q8" s="4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</row>
    <row r="9" spans="1:160" x14ac:dyDescent="0.25">
      <c r="B9" s="45" t="s">
        <v>127</v>
      </c>
      <c r="C9" s="45" t="s">
        <v>0</v>
      </c>
      <c r="D9" s="58">
        <v>30</v>
      </c>
      <c r="E9" s="46">
        <v>4</v>
      </c>
      <c r="F9" s="58">
        <v>60</v>
      </c>
      <c r="G9" s="59">
        <v>35</v>
      </c>
      <c r="H9" s="58">
        <v>200</v>
      </c>
      <c r="I9" s="58">
        <v>850</v>
      </c>
      <c r="J9" s="58">
        <v>200</v>
      </c>
      <c r="K9" s="59">
        <v>1000</v>
      </c>
      <c r="L9" s="58">
        <v>30</v>
      </c>
      <c r="M9" s="58">
        <v>40</v>
      </c>
      <c r="N9" s="58">
        <v>50</v>
      </c>
      <c r="O9" s="5"/>
      <c r="P9" s="4"/>
      <c r="Q9" s="4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</row>
    <row r="10" spans="1:160" x14ac:dyDescent="0.25">
      <c r="B10" s="45" t="s">
        <v>128</v>
      </c>
      <c r="C10" s="45" t="s">
        <v>0</v>
      </c>
      <c r="D10" s="58">
        <v>50</v>
      </c>
      <c r="E10" s="46">
        <v>4</v>
      </c>
      <c r="F10" s="58">
        <v>100</v>
      </c>
      <c r="G10" s="59">
        <v>35</v>
      </c>
      <c r="H10" s="58">
        <v>200</v>
      </c>
      <c r="I10" s="58">
        <v>850</v>
      </c>
      <c r="J10" s="58">
        <v>200</v>
      </c>
      <c r="K10" s="59">
        <v>1000</v>
      </c>
      <c r="L10" s="58">
        <v>30</v>
      </c>
      <c r="M10" s="58">
        <v>40</v>
      </c>
      <c r="N10" s="58">
        <v>50</v>
      </c>
      <c r="O10" s="5"/>
      <c r="P10" s="4"/>
      <c r="Q10" s="4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</row>
    <row r="11" spans="1:160" x14ac:dyDescent="0.25">
      <c r="B11" s="45" t="s">
        <v>133</v>
      </c>
      <c r="C11" s="45" t="s">
        <v>0</v>
      </c>
      <c r="D11" s="58">
        <v>100</v>
      </c>
      <c r="E11" s="46">
        <v>6</v>
      </c>
      <c r="F11" s="58">
        <v>200</v>
      </c>
      <c r="G11" s="59">
        <v>45</v>
      </c>
      <c r="H11" s="58">
        <v>160</v>
      </c>
      <c r="I11" s="58">
        <v>950</v>
      </c>
      <c r="J11" s="58">
        <v>180</v>
      </c>
      <c r="K11" s="59">
        <v>1000</v>
      </c>
      <c r="L11" s="58">
        <v>48</v>
      </c>
      <c r="M11" s="58">
        <v>48</v>
      </c>
      <c r="N11" s="58">
        <v>60</v>
      </c>
      <c r="O11" s="5"/>
      <c r="P11" s="4"/>
      <c r="Q11" s="4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</row>
    <row r="12" spans="1:160" x14ac:dyDescent="0.25">
      <c r="B12" s="45" t="s">
        <v>130</v>
      </c>
      <c r="C12" s="45" t="s">
        <v>0</v>
      </c>
      <c r="D12" s="58">
        <v>125</v>
      </c>
      <c r="E12" s="46">
        <v>6</v>
      </c>
      <c r="F12" s="58">
        <v>250</v>
      </c>
      <c r="G12" s="59">
        <v>45</v>
      </c>
      <c r="H12" s="58">
        <v>160</v>
      </c>
      <c r="I12" s="58">
        <v>950</v>
      </c>
      <c r="J12" s="58">
        <v>180</v>
      </c>
      <c r="K12" s="59">
        <v>1000</v>
      </c>
      <c r="L12" s="58">
        <v>48</v>
      </c>
      <c r="M12" s="58">
        <v>48</v>
      </c>
      <c r="N12" s="58">
        <v>60</v>
      </c>
      <c r="O12" s="5"/>
      <c r="P12" s="4"/>
      <c r="Q12" s="4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</row>
    <row r="13" spans="1:160" x14ac:dyDescent="0.25">
      <c r="B13" s="45" t="s">
        <v>131</v>
      </c>
      <c r="C13" s="45" t="s">
        <v>0</v>
      </c>
      <c r="D13" s="58">
        <v>10</v>
      </c>
      <c r="E13" s="46">
        <v>4</v>
      </c>
      <c r="F13" s="58">
        <v>20</v>
      </c>
      <c r="G13" s="59">
        <v>15</v>
      </c>
      <c r="H13" s="58">
        <v>130</v>
      </c>
      <c r="I13" s="58">
        <v>850</v>
      </c>
      <c r="J13" s="58">
        <v>120</v>
      </c>
      <c r="K13" s="59">
        <v>1000</v>
      </c>
      <c r="L13" s="58">
        <v>20</v>
      </c>
      <c r="M13" s="58">
        <v>20</v>
      </c>
      <c r="N13" s="58">
        <v>25</v>
      </c>
      <c r="O13" s="5"/>
      <c r="P13" s="4"/>
      <c r="Q13" s="4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</row>
    <row r="14" spans="1:160" x14ac:dyDescent="0.25">
      <c r="B14" s="45" t="s">
        <v>132</v>
      </c>
      <c r="C14" s="45" t="s">
        <v>0</v>
      </c>
      <c r="D14" s="58">
        <v>20</v>
      </c>
      <c r="E14" s="46">
        <v>4</v>
      </c>
      <c r="F14" s="58">
        <v>40</v>
      </c>
      <c r="G14" s="59">
        <v>15</v>
      </c>
      <c r="H14" s="58">
        <v>250</v>
      </c>
      <c r="I14" s="58">
        <v>850</v>
      </c>
      <c r="J14" s="58">
        <v>120</v>
      </c>
      <c r="K14" s="59">
        <v>1000</v>
      </c>
      <c r="L14" s="58">
        <v>20</v>
      </c>
      <c r="M14" s="58">
        <v>20</v>
      </c>
      <c r="N14" s="58">
        <v>25</v>
      </c>
      <c r="O14" s="5"/>
      <c r="P14" s="4"/>
      <c r="Q14" s="4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</row>
    <row r="15" spans="1:160" x14ac:dyDescent="0.25">
      <c r="B15" s="45" t="s">
        <v>129</v>
      </c>
      <c r="C15" s="45" t="s">
        <v>0</v>
      </c>
      <c r="D15" s="58">
        <v>30</v>
      </c>
      <c r="E15" s="46">
        <v>4</v>
      </c>
      <c r="F15" s="58">
        <v>50</v>
      </c>
      <c r="G15" s="59">
        <v>15</v>
      </c>
      <c r="H15" s="58">
        <v>380</v>
      </c>
      <c r="I15" s="58">
        <v>850</v>
      </c>
      <c r="J15" s="58">
        <v>120</v>
      </c>
      <c r="K15" s="59">
        <v>1000</v>
      </c>
      <c r="L15" s="58">
        <v>20</v>
      </c>
      <c r="M15" s="58">
        <v>20</v>
      </c>
      <c r="N15" s="58">
        <v>25</v>
      </c>
      <c r="O15" s="5"/>
      <c r="P15" s="4"/>
      <c r="Q15" s="4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</row>
    <row r="16" spans="1:160" x14ac:dyDescent="0.25">
      <c r="L16" s="4"/>
      <c r="M16" s="4"/>
      <c r="N16" s="4"/>
      <c r="O16" s="5"/>
      <c r="P16" s="4"/>
      <c r="Q16" s="4"/>
      <c r="R16" s="4"/>
      <c r="S16" s="4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</row>
    <row r="17" spans="12:160" x14ac:dyDescent="0.25">
      <c r="L17" s="4"/>
      <c r="M17" s="4"/>
      <c r="N17" s="4"/>
      <c r="O17" s="5"/>
      <c r="P17" s="4"/>
      <c r="Q17" s="4"/>
      <c r="R17" s="4"/>
      <c r="S17" s="4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</row>
    <row r="18" spans="12:160" x14ac:dyDescent="0.25">
      <c r="L18" s="4"/>
      <c r="M18" s="4"/>
      <c r="N18" s="4"/>
      <c r="O18" s="5"/>
      <c r="P18" s="4"/>
      <c r="Q18" s="4"/>
      <c r="R18" s="4"/>
      <c r="S18" s="4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</row>
    <row r="19" spans="12:160" x14ac:dyDescent="0.25">
      <c r="L19" s="4"/>
      <c r="M19" s="4"/>
      <c r="N19" s="4"/>
      <c r="O19" s="5"/>
      <c r="P19" s="4"/>
      <c r="Q19" s="4"/>
      <c r="R19" s="4"/>
      <c r="S19" s="4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</row>
    <row r="20" spans="12:160" x14ac:dyDescent="0.25">
      <c r="L20" s="4"/>
      <c r="M20" s="4"/>
      <c r="N20" s="4"/>
      <c r="O20" s="5"/>
      <c r="P20" s="4"/>
      <c r="Q20" s="4"/>
      <c r="R20" s="4"/>
      <c r="S20" s="4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</row>
    <row r="21" spans="12:160" x14ac:dyDescent="0.25">
      <c r="L21" s="4"/>
      <c r="M21" s="4"/>
      <c r="N21" s="4"/>
      <c r="O21" s="5"/>
      <c r="P21" s="4"/>
      <c r="Q21" s="4"/>
      <c r="R21" s="4"/>
      <c r="S21" s="4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</row>
    <row r="22" spans="12:160" x14ac:dyDescent="0.25">
      <c r="L22" s="4"/>
      <c r="M22" s="4"/>
      <c r="N22" s="4"/>
      <c r="O22" s="5"/>
      <c r="P22" s="4"/>
      <c r="Q22" s="4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</row>
    <row r="23" spans="12:160" x14ac:dyDescent="0.25">
      <c r="L23" s="4"/>
      <c r="M23" s="4"/>
      <c r="N23" s="4"/>
      <c r="O23" s="5"/>
      <c r="P23" s="4"/>
      <c r="Q23" s="4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</row>
    <row r="24" spans="12:160" x14ac:dyDescent="0.25">
      <c r="L24" s="4"/>
      <c r="M24" s="4"/>
      <c r="N24" s="4"/>
      <c r="O24" s="5"/>
      <c r="P24" s="4"/>
      <c r="Q24" s="4"/>
      <c r="R24" s="4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</row>
    <row r="25" spans="12:160" x14ac:dyDescent="0.25">
      <c r="L25" s="4"/>
      <c r="M25" s="4"/>
      <c r="N25" s="4"/>
      <c r="O25" s="5"/>
      <c r="P25" s="4"/>
      <c r="Q25" s="4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</row>
    <row r="26" spans="12:160" x14ac:dyDescent="0.25">
      <c r="L26" s="4"/>
      <c r="M26" s="4"/>
      <c r="N26" s="4"/>
      <c r="O26" s="5"/>
      <c r="P26" s="4"/>
      <c r="Q26" s="4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</row>
    <row r="27" spans="12:160" x14ac:dyDescent="0.25">
      <c r="L27" s="4"/>
      <c r="M27" s="4"/>
      <c r="N27" s="4"/>
      <c r="O27" s="5"/>
      <c r="P27" s="4"/>
      <c r="Q27" s="4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</row>
    <row r="28" spans="12:160" x14ac:dyDescent="0.25">
      <c r="L28" s="4"/>
      <c r="M28" s="4"/>
      <c r="N28" s="4"/>
      <c r="O28" s="5"/>
      <c r="P28" s="4"/>
      <c r="Q28" s="4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</row>
    <row r="29" spans="12:160" x14ac:dyDescent="0.25">
      <c r="L29" s="4"/>
      <c r="M29" s="4"/>
      <c r="N29" s="4"/>
      <c r="O29" s="5"/>
      <c r="P29" s="4"/>
      <c r="Q29" s="4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</row>
    <row r="30" spans="12:160" x14ac:dyDescent="0.25">
      <c r="L30" s="4"/>
      <c r="M30" s="4"/>
      <c r="N30" s="4"/>
      <c r="O30" s="5"/>
      <c r="P30" s="4"/>
      <c r="Q30" s="4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</row>
    <row r="31" spans="12:160" x14ac:dyDescent="0.25">
      <c r="L31" s="4"/>
      <c r="M31" s="4"/>
      <c r="N31" s="4"/>
      <c r="O31" s="5"/>
      <c r="P31" s="4"/>
      <c r="Q31" s="4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</row>
    <row r="32" spans="12:160" x14ac:dyDescent="0.25">
      <c r="L32" s="4"/>
      <c r="M32" s="4"/>
      <c r="N32" s="4"/>
      <c r="O32" s="5"/>
      <c r="P32" s="4"/>
      <c r="Q32" s="4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</row>
    <row r="33" spans="12:160" x14ac:dyDescent="0.25">
      <c r="L33" s="4"/>
      <c r="M33" s="4"/>
      <c r="N33" s="4"/>
      <c r="O33" s="5"/>
      <c r="P33" s="4"/>
      <c r="Q33" s="4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</row>
    <row r="34" spans="12:160" x14ac:dyDescent="0.25">
      <c r="L34" s="4"/>
      <c r="M34" s="4"/>
      <c r="N34" s="4"/>
      <c r="O34" s="5"/>
      <c r="P34" s="4"/>
      <c r="Q34" s="4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</row>
    <row r="35" spans="12:160" x14ac:dyDescent="0.25">
      <c r="L35" s="4"/>
      <c r="M35" s="4"/>
      <c r="N35" s="4"/>
      <c r="O35" s="5"/>
      <c r="P35" s="4"/>
      <c r="Q35" s="4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</row>
    <row r="36" spans="12:160" x14ac:dyDescent="0.25">
      <c r="L36" s="4"/>
      <c r="M36" s="4"/>
      <c r="N36" s="4"/>
      <c r="O36" s="5"/>
      <c r="P36" s="4"/>
      <c r="Q36" s="4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</row>
    <row r="37" spans="12:160" x14ac:dyDescent="0.25">
      <c r="L37" s="4"/>
      <c r="M37" s="4"/>
      <c r="N37" s="4"/>
      <c r="O37" s="5"/>
      <c r="P37" s="4"/>
      <c r="Q37" s="4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</row>
    <row r="38" spans="12:160" x14ac:dyDescent="0.25">
      <c r="L38" s="4"/>
      <c r="M38" s="4"/>
      <c r="N38" s="4"/>
      <c r="O38" s="5"/>
      <c r="P38" s="4"/>
      <c r="Q38" s="4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</row>
    <row r="39" spans="12:160" x14ac:dyDescent="0.25">
      <c r="L39" s="4"/>
      <c r="M39" s="4"/>
      <c r="N39" s="4"/>
      <c r="O39" s="5"/>
      <c r="P39" s="4"/>
      <c r="Q39" s="4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</row>
    <row r="40" spans="12:160" x14ac:dyDescent="0.25">
      <c r="L40" s="4"/>
      <c r="M40" s="4"/>
      <c r="N40" s="4"/>
      <c r="O40" s="5"/>
      <c r="P40" s="4"/>
      <c r="Q40" s="4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</row>
    <row r="41" spans="12:160" x14ac:dyDescent="0.25">
      <c r="L41" s="4"/>
      <c r="M41" s="4"/>
      <c r="N41" s="4"/>
      <c r="O41" s="5"/>
      <c r="P41" s="4"/>
      <c r="Q41" s="4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</row>
    <row r="42" spans="12:160" x14ac:dyDescent="0.25">
      <c r="L42" s="4"/>
      <c r="M42" s="4"/>
      <c r="N42" s="4"/>
      <c r="O42" s="5"/>
      <c r="P42" s="4"/>
      <c r="Q42" s="4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</row>
    <row r="43" spans="12:160" x14ac:dyDescent="0.25">
      <c r="L43" s="4"/>
      <c r="M43" s="4"/>
      <c r="N43" s="4"/>
      <c r="O43" s="5"/>
      <c r="P43" s="4"/>
      <c r="Q43" s="4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</row>
    <row r="44" spans="12:160" x14ac:dyDescent="0.25">
      <c r="L44" s="4"/>
      <c r="M44" s="4"/>
      <c r="N44" s="4"/>
      <c r="O44" s="5"/>
      <c r="P44" s="4"/>
      <c r="Q44" s="4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</row>
    <row r="45" spans="12:160" x14ac:dyDescent="0.25">
      <c r="L45" s="4"/>
      <c r="M45" s="4"/>
      <c r="N45" s="4"/>
      <c r="O45" s="5"/>
      <c r="P45" s="4"/>
      <c r="Q45" s="4"/>
      <c r="R45" s="4"/>
      <c r="S45" s="4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</row>
    <row r="46" spans="12:160" x14ac:dyDescent="0.25">
      <c r="L46" s="4"/>
      <c r="M46" s="4"/>
      <c r="N46" s="4"/>
      <c r="O46" s="5"/>
      <c r="P46" s="4"/>
      <c r="Q46" s="4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</row>
    <row r="47" spans="12:160" x14ac:dyDescent="0.25">
      <c r="L47" s="4"/>
      <c r="M47" s="4"/>
      <c r="N47" s="4"/>
      <c r="O47" s="5"/>
      <c r="P47" s="4"/>
      <c r="Q47" s="4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</row>
    <row r="48" spans="12:160" x14ac:dyDescent="0.25">
      <c r="L48" s="4"/>
      <c r="M48" s="4"/>
      <c r="N48" s="4"/>
      <c r="O48" s="5"/>
      <c r="P48" s="4"/>
      <c r="Q48" s="4"/>
      <c r="R48" s="4"/>
      <c r="S48" s="4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</row>
    <row r="49" spans="12:160" x14ac:dyDescent="0.25">
      <c r="L49" s="4"/>
      <c r="M49" s="4"/>
      <c r="N49" s="4"/>
      <c r="O49" s="5"/>
      <c r="P49" s="4"/>
      <c r="Q49" s="4"/>
      <c r="R49" s="4"/>
      <c r="S49" s="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</row>
    <row r="50" spans="12:160" x14ac:dyDescent="0.25">
      <c r="L50" s="4"/>
      <c r="M50" s="4"/>
      <c r="N50" s="4"/>
      <c r="O50" s="5"/>
      <c r="P50" s="4"/>
      <c r="Q50" s="4"/>
      <c r="R50" s="4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</row>
    <row r="51" spans="12:160" x14ac:dyDescent="0.25">
      <c r="L51" s="4"/>
      <c r="M51" s="4"/>
      <c r="N51" s="4"/>
      <c r="O51" s="5"/>
      <c r="P51" s="4"/>
      <c r="Q51" s="4"/>
      <c r="R51" s="4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</row>
    <row r="52" spans="12:160" x14ac:dyDescent="0.25">
      <c r="L52" s="4"/>
      <c r="M52" s="4"/>
      <c r="N52" s="4"/>
      <c r="O52" s="5"/>
      <c r="P52" s="4"/>
      <c r="Q52" s="4"/>
      <c r="R52" s="4"/>
      <c r="S52" s="4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</row>
    <row r="53" spans="12:160" x14ac:dyDescent="0.25">
      <c r="L53" s="4"/>
      <c r="M53" s="4"/>
      <c r="N53" s="4"/>
      <c r="O53" s="5"/>
      <c r="P53" s="4"/>
      <c r="Q53" s="4"/>
      <c r="R53" s="4"/>
      <c r="S53" s="4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</row>
    <row r="54" spans="12:160" x14ac:dyDescent="0.25">
      <c r="L54" s="4"/>
      <c r="M54" s="4"/>
      <c r="N54" s="4"/>
      <c r="O54" s="5"/>
      <c r="P54" s="4"/>
      <c r="Q54" s="4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</row>
    <row r="55" spans="12:160" x14ac:dyDescent="0.25">
      <c r="L55" s="4"/>
      <c r="M55" s="4"/>
      <c r="N55" s="4"/>
      <c r="O55" s="5"/>
      <c r="P55" s="4"/>
      <c r="Q55" s="4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</row>
    <row r="56" spans="12:160" x14ac:dyDescent="0.25">
      <c r="L56" s="4"/>
      <c r="M56" s="4"/>
      <c r="N56" s="4"/>
      <c r="O56" s="5"/>
      <c r="P56" s="4"/>
      <c r="Q56" s="4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</row>
    <row r="57" spans="12:160" x14ac:dyDescent="0.25">
      <c r="L57" s="4"/>
      <c r="M57" s="4"/>
      <c r="N57" s="4"/>
      <c r="O57" s="5"/>
      <c r="P57" s="4"/>
      <c r="Q57" s="4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</row>
    <row r="58" spans="12:160" x14ac:dyDescent="0.25">
      <c r="L58" s="4"/>
      <c r="M58" s="4"/>
      <c r="N58" s="4"/>
      <c r="O58" s="5"/>
      <c r="P58" s="4"/>
      <c r="Q58" s="4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</row>
    <row r="59" spans="12:160" x14ac:dyDescent="0.25">
      <c r="L59" s="4"/>
      <c r="M59" s="4"/>
      <c r="N59" s="4"/>
      <c r="O59" s="5"/>
      <c r="P59" s="4"/>
      <c r="Q59" s="4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</row>
    <row r="60" spans="12:160" x14ac:dyDescent="0.25">
      <c r="L60" s="4"/>
      <c r="M60" s="4"/>
      <c r="N60" s="4"/>
      <c r="O60" s="5"/>
      <c r="P60" s="4"/>
      <c r="Q60" s="4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</row>
    <row r="61" spans="12:160" x14ac:dyDescent="0.25">
      <c r="L61" s="4"/>
      <c r="M61" s="4"/>
      <c r="N61" s="4"/>
      <c r="O61" s="5"/>
      <c r="P61" s="4"/>
      <c r="Q61" s="4"/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</row>
    <row r="62" spans="12:160" x14ac:dyDescent="0.25">
      <c r="L62" s="4"/>
      <c r="M62" s="4"/>
      <c r="N62" s="4"/>
      <c r="O62" s="5"/>
      <c r="P62" s="4"/>
      <c r="Q62" s="4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</row>
    <row r="63" spans="12:160" x14ac:dyDescent="0.25">
      <c r="L63" s="4"/>
      <c r="M63" s="4"/>
      <c r="N63" s="4"/>
      <c r="O63" s="5"/>
      <c r="P63" s="4"/>
      <c r="Q63" s="4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</row>
    <row r="64" spans="12:160" x14ac:dyDescent="0.25">
      <c r="L64" s="4"/>
      <c r="M64" s="4"/>
      <c r="N64" s="4"/>
      <c r="O64" s="5"/>
      <c r="P64" s="4"/>
      <c r="Q64" s="4"/>
      <c r="R64" s="4"/>
      <c r="S64" s="4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</row>
    <row r="65" spans="12:160" x14ac:dyDescent="0.25">
      <c r="L65" s="4"/>
      <c r="M65" s="4"/>
      <c r="N65" s="4"/>
      <c r="O65" s="5"/>
      <c r="P65" s="4"/>
      <c r="Q65" s="4"/>
      <c r="R65" s="4"/>
      <c r="S65" s="4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</row>
    <row r="66" spans="12:160" x14ac:dyDescent="0.25">
      <c r="L66" s="4"/>
      <c r="M66" s="4"/>
      <c r="N66" s="4"/>
      <c r="O66" s="5"/>
      <c r="P66" s="4"/>
      <c r="Q66" s="4"/>
      <c r="R66" s="4"/>
      <c r="S66" s="4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</row>
    <row r="67" spans="12:160" x14ac:dyDescent="0.25">
      <c r="L67" s="4"/>
      <c r="M67" s="4"/>
      <c r="N67" s="4"/>
      <c r="O67" s="5"/>
      <c r="P67" s="4"/>
      <c r="Q67" s="4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</row>
    <row r="68" spans="12:160" x14ac:dyDescent="0.25">
      <c r="L68" s="4"/>
      <c r="M68" s="4"/>
      <c r="N68" s="4"/>
      <c r="O68" s="5"/>
      <c r="P68" s="4"/>
      <c r="Q68" s="4"/>
      <c r="R68" s="4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</row>
    <row r="69" spans="12:160" x14ac:dyDescent="0.25">
      <c r="L69" s="4"/>
      <c r="M69" s="4"/>
      <c r="N69" s="4"/>
      <c r="O69" s="5"/>
      <c r="P69" s="4"/>
      <c r="Q69" s="4"/>
      <c r="R69" s="4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</row>
    <row r="70" spans="12:160" x14ac:dyDescent="0.25">
      <c r="L70" s="4"/>
      <c r="M70" s="4"/>
      <c r="N70" s="4"/>
      <c r="O70" s="5"/>
      <c r="P70" s="4"/>
      <c r="Q70" s="4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</row>
    <row r="71" spans="12:160" x14ac:dyDescent="0.25">
      <c r="L71" s="4"/>
      <c r="M71" s="4"/>
      <c r="N71" s="4"/>
      <c r="O71" s="5"/>
      <c r="P71" s="4"/>
      <c r="Q71" s="4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</row>
    <row r="72" spans="12:160" x14ac:dyDescent="0.25">
      <c r="L72" s="4"/>
      <c r="M72" s="4"/>
      <c r="N72" s="4"/>
      <c r="O72" s="5"/>
      <c r="P72" s="4"/>
      <c r="Q72" s="4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</row>
    <row r="73" spans="12:160" x14ac:dyDescent="0.25">
      <c r="L73" s="4"/>
      <c r="M73" s="4"/>
      <c r="N73" s="4"/>
      <c r="O73" s="5"/>
      <c r="P73" s="4"/>
      <c r="Q73" s="4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</row>
    <row r="74" spans="12:160" x14ac:dyDescent="0.25">
      <c r="L74" s="4"/>
      <c r="M74" s="4"/>
      <c r="N74" s="4"/>
      <c r="O74" s="5"/>
      <c r="P74" s="4"/>
      <c r="Q74" s="4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</row>
    <row r="75" spans="12:160" x14ac:dyDescent="0.25">
      <c r="L75" s="4"/>
      <c r="M75" s="4"/>
      <c r="N75" s="4"/>
      <c r="O75" s="5"/>
      <c r="P75" s="4"/>
      <c r="Q75" s="4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</row>
    <row r="76" spans="12:160" x14ac:dyDescent="0.25">
      <c r="L76" s="4"/>
      <c r="M76" s="4"/>
      <c r="N76" s="4"/>
      <c r="O76" s="5"/>
      <c r="P76" s="4"/>
      <c r="Q76" s="4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</row>
    <row r="77" spans="12:160" x14ac:dyDescent="0.25">
      <c r="L77" s="4"/>
      <c r="M77" s="4"/>
      <c r="N77" s="4"/>
      <c r="O77" s="5"/>
      <c r="P77" s="4"/>
      <c r="Q77" s="4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</row>
    <row r="78" spans="12:160" x14ac:dyDescent="0.25">
      <c r="L78" s="4"/>
      <c r="M78" s="4"/>
      <c r="N78" s="4"/>
      <c r="O78" s="5"/>
      <c r="P78" s="4"/>
      <c r="Q78" s="4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</row>
    <row r="79" spans="12:160" x14ac:dyDescent="0.25">
      <c r="L79" s="4"/>
      <c r="M79" s="4"/>
      <c r="N79" s="4"/>
      <c r="O79" s="5"/>
      <c r="P79" s="4"/>
      <c r="Q79" s="4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</row>
    <row r="80" spans="12:160" x14ac:dyDescent="0.25">
      <c r="L80" s="4"/>
      <c r="M80" s="4"/>
      <c r="N80" s="4"/>
      <c r="O80" s="5"/>
      <c r="P80" s="4"/>
      <c r="Q80" s="4"/>
      <c r="R80" s="4"/>
      <c r="S80" s="4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</row>
    <row r="81" spans="12:160" x14ac:dyDescent="0.25">
      <c r="L81" s="4"/>
      <c r="M81" s="4"/>
      <c r="N81" s="4"/>
      <c r="O81" s="5"/>
      <c r="P81" s="4"/>
      <c r="Q81" s="4"/>
      <c r="R81" s="4"/>
      <c r="S81" s="4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</row>
    <row r="82" spans="12:160" x14ac:dyDescent="0.25">
      <c r="L82" s="4"/>
      <c r="M82" s="4"/>
      <c r="N82" s="4"/>
      <c r="O82" s="5"/>
      <c r="P82" s="4"/>
      <c r="Q82" s="4"/>
      <c r="R82" s="4"/>
      <c r="S82" s="4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</row>
    <row r="83" spans="12:160" x14ac:dyDescent="0.25">
      <c r="L83" s="4"/>
      <c r="M83" s="4"/>
      <c r="N83" s="4"/>
      <c r="O83" s="5"/>
      <c r="P83" s="4"/>
      <c r="Q83" s="4"/>
      <c r="R83" s="4"/>
      <c r="S83" s="4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</row>
    <row r="84" spans="12:160" x14ac:dyDescent="0.25">
      <c r="L84" s="4"/>
      <c r="M84" s="4"/>
      <c r="N84" s="4"/>
      <c r="O84" s="5"/>
      <c r="P84" s="4"/>
      <c r="Q84" s="4"/>
      <c r="R84" s="4"/>
      <c r="S84" s="4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</row>
    <row r="85" spans="12:160" x14ac:dyDescent="0.25">
      <c r="L85" s="4"/>
      <c r="M85" s="4"/>
      <c r="N85" s="4"/>
      <c r="O85" s="5"/>
      <c r="P85" s="4"/>
      <c r="Q85" s="4"/>
      <c r="R85" s="4"/>
      <c r="S85" s="4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</row>
    <row r="86" spans="12:160" x14ac:dyDescent="0.25">
      <c r="L86" s="4"/>
      <c r="M86" s="4"/>
      <c r="N86" s="4"/>
      <c r="O86" s="5"/>
      <c r="P86" s="4"/>
      <c r="Q86" s="4"/>
      <c r="R86" s="4"/>
      <c r="S86" s="4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</row>
    <row r="87" spans="12:160" x14ac:dyDescent="0.25">
      <c r="L87" s="4"/>
      <c r="M87" s="4"/>
      <c r="N87" s="4"/>
      <c r="O87" s="5"/>
      <c r="P87" s="4"/>
      <c r="Q87" s="4"/>
      <c r="R87" s="4"/>
      <c r="S87" s="4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</row>
    <row r="88" spans="12:160" x14ac:dyDescent="0.25">
      <c r="L88" s="4"/>
      <c r="M88" s="4"/>
      <c r="N88" s="4"/>
      <c r="O88" s="5"/>
      <c r="P88" s="4"/>
      <c r="Q88" s="4"/>
      <c r="R88" s="4"/>
      <c r="S88" s="4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</row>
    <row r="89" spans="12:160" x14ac:dyDescent="0.25">
      <c r="L89" s="4"/>
      <c r="M89" s="4"/>
      <c r="N89" s="4"/>
      <c r="O89" s="5"/>
      <c r="P89" s="4"/>
      <c r="Q89" s="4"/>
      <c r="R89" s="4"/>
      <c r="S89" s="4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</row>
    <row r="90" spans="12:160" x14ac:dyDescent="0.25">
      <c r="L90" s="4"/>
      <c r="M90" s="4"/>
      <c r="N90" s="4"/>
      <c r="O90" s="5"/>
      <c r="P90" s="4"/>
      <c r="Q90" s="4"/>
      <c r="R90" s="4"/>
      <c r="S90" s="4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</row>
    <row r="91" spans="12:160" x14ac:dyDescent="0.25">
      <c r="L91" s="4"/>
      <c r="M91" s="4"/>
      <c r="N91" s="4"/>
      <c r="O91" s="5"/>
      <c r="P91" s="4"/>
      <c r="Q91" s="4"/>
      <c r="R91" s="4"/>
      <c r="S91" s="4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</row>
    <row r="92" spans="12:160" x14ac:dyDescent="0.25">
      <c r="L92" s="4"/>
      <c r="M92" s="4"/>
      <c r="N92" s="4"/>
      <c r="O92" s="5"/>
      <c r="P92" s="4"/>
      <c r="Q92" s="4"/>
      <c r="R92" s="4"/>
      <c r="S92" s="4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</row>
    <row r="93" spans="12:160" x14ac:dyDescent="0.25">
      <c r="L93" s="4"/>
      <c r="M93" s="4"/>
      <c r="N93" s="4"/>
      <c r="O93" s="5"/>
      <c r="P93" s="4"/>
      <c r="Q93" s="4"/>
      <c r="R93" s="4"/>
      <c r="S93" s="4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</row>
    <row r="94" spans="12:160" x14ac:dyDescent="0.25">
      <c r="L94" s="4"/>
      <c r="M94" s="4"/>
      <c r="N94" s="4"/>
      <c r="O94" s="5"/>
      <c r="P94" s="4"/>
      <c r="Q94" s="4"/>
      <c r="R94" s="4"/>
      <c r="S94" s="4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</row>
    <row r="95" spans="12:160" x14ac:dyDescent="0.25">
      <c r="L95" s="4"/>
      <c r="M95" s="4"/>
      <c r="N95" s="4"/>
      <c r="O95" s="5"/>
      <c r="P95" s="4"/>
      <c r="Q95" s="4"/>
      <c r="R95" s="4"/>
      <c r="S95" s="4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</row>
    <row r="96" spans="12:160" x14ac:dyDescent="0.25">
      <c r="L96" s="4"/>
      <c r="M96" s="4"/>
      <c r="N96" s="4"/>
      <c r="O96" s="5"/>
      <c r="P96" s="4"/>
      <c r="Q96" s="4"/>
      <c r="R96" s="4"/>
      <c r="S96" s="4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</row>
    <row r="97" spans="12:160" x14ac:dyDescent="0.25">
      <c r="L97" s="4"/>
      <c r="M97" s="4"/>
      <c r="N97" s="4"/>
      <c r="O97" s="5"/>
      <c r="P97" s="4"/>
      <c r="Q97" s="4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</row>
    <row r="98" spans="12:160" x14ac:dyDescent="0.25">
      <c r="L98" s="4"/>
      <c r="M98" s="4"/>
      <c r="N98" s="4"/>
      <c r="O98" s="5"/>
      <c r="P98" s="4"/>
      <c r="Q98" s="4"/>
      <c r="R98" s="4"/>
      <c r="S98" s="4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</row>
    <row r="99" spans="12:160" x14ac:dyDescent="0.25">
      <c r="L99" s="4"/>
      <c r="M99" s="4"/>
      <c r="N99" s="4"/>
      <c r="O99" s="5"/>
      <c r="P99" s="4"/>
      <c r="Q99" s="4"/>
      <c r="R99" s="4"/>
      <c r="S99" s="4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</row>
    <row r="100" spans="12:160" x14ac:dyDescent="0.25">
      <c r="L100" s="4"/>
      <c r="M100" s="4"/>
      <c r="N100" s="4"/>
      <c r="O100" s="5"/>
      <c r="P100" s="4"/>
      <c r="Q100" s="4"/>
      <c r="R100" s="4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</row>
    <row r="101" spans="12:160" x14ac:dyDescent="0.25">
      <c r="L101" s="4"/>
      <c r="M101" s="4"/>
      <c r="N101" s="4"/>
      <c r="O101" s="5"/>
      <c r="P101" s="4"/>
      <c r="Q101" s="4"/>
      <c r="R101" s="4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</row>
    <row r="102" spans="12:160" x14ac:dyDescent="0.25">
      <c r="L102" s="4"/>
      <c r="M102" s="4"/>
      <c r="N102" s="4"/>
      <c r="O102" s="5"/>
      <c r="P102" s="4"/>
      <c r="Q102" s="4"/>
      <c r="R102" s="4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</row>
    <row r="103" spans="12:160" x14ac:dyDescent="0.25">
      <c r="L103" s="4"/>
      <c r="M103" s="4"/>
      <c r="N103" s="4"/>
      <c r="O103" s="5"/>
      <c r="P103" s="4"/>
      <c r="Q103" s="4"/>
      <c r="R103" s="4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</row>
    <row r="104" spans="12:160" x14ac:dyDescent="0.25">
      <c r="L104" s="4"/>
      <c r="M104" s="4"/>
      <c r="N104" s="4"/>
      <c r="O104" s="5"/>
      <c r="P104" s="4"/>
      <c r="Q104" s="4"/>
      <c r="R104" s="4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</row>
    <row r="105" spans="12:160" x14ac:dyDescent="0.25">
      <c r="L105" s="4"/>
      <c r="M105" s="4"/>
      <c r="N105" s="4"/>
      <c r="O105" s="5"/>
      <c r="P105" s="4"/>
      <c r="Q105" s="4"/>
      <c r="R105" s="4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</row>
    <row r="106" spans="12:160" x14ac:dyDescent="0.25">
      <c r="L106" s="4"/>
      <c r="M106" s="4"/>
      <c r="N106" s="4"/>
      <c r="O106" s="5"/>
      <c r="P106" s="4"/>
      <c r="Q106" s="4"/>
      <c r="R106" s="4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</row>
    <row r="107" spans="12:160" x14ac:dyDescent="0.25">
      <c r="L107" s="4"/>
      <c r="M107" s="4"/>
      <c r="N107" s="4"/>
      <c r="O107" s="5"/>
      <c r="P107" s="4"/>
      <c r="Q107" s="4"/>
      <c r="R107" s="4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</row>
    <row r="108" spans="12:160" x14ac:dyDescent="0.25">
      <c r="L108" s="4"/>
      <c r="M108" s="4"/>
      <c r="N108" s="4"/>
      <c r="O108" s="5"/>
      <c r="P108" s="4"/>
      <c r="Q108" s="4"/>
      <c r="R108" s="4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</row>
    <row r="109" spans="12:160" x14ac:dyDescent="0.25">
      <c r="L109" s="4"/>
      <c r="M109" s="4"/>
      <c r="N109" s="4"/>
      <c r="O109" s="5"/>
      <c r="P109" s="4"/>
      <c r="Q109" s="4"/>
      <c r="R109" s="4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</row>
    <row r="110" spans="12:160" x14ac:dyDescent="0.25">
      <c r="L110" s="4"/>
      <c r="M110" s="4"/>
      <c r="N110" s="4"/>
      <c r="O110" s="5"/>
      <c r="P110" s="4"/>
      <c r="Q110" s="4"/>
      <c r="R110" s="4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</row>
    <row r="111" spans="12:160" x14ac:dyDescent="0.25">
      <c r="L111" s="4"/>
      <c r="M111" s="4"/>
      <c r="N111" s="4"/>
      <c r="O111" s="5"/>
      <c r="P111" s="4"/>
      <c r="Q111" s="4"/>
      <c r="R111" s="4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</row>
    <row r="112" spans="12:160" x14ac:dyDescent="0.25">
      <c r="L112" s="4"/>
      <c r="M112" s="4"/>
      <c r="N112" s="4"/>
      <c r="O112" s="5"/>
      <c r="P112" s="4"/>
      <c r="Q112" s="4"/>
      <c r="R112" s="4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</row>
    <row r="113" spans="12:160" x14ac:dyDescent="0.25">
      <c r="L113" s="4"/>
      <c r="M113" s="4"/>
      <c r="N113" s="4"/>
      <c r="O113" s="5"/>
      <c r="P113" s="4"/>
      <c r="Q113" s="4"/>
      <c r="R113" s="4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</row>
    <row r="114" spans="12:160" x14ac:dyDescent="0.25">
      <c r="L114" s="4"/>
      <c r="M114" s="4"/>
      <c r="N114" s="4"/>
      <c r="O114" s="5"/>
      <c r="P114" s="4"/>
      <c r="Q114" s="4"/>
      <c r="R114" s="4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</row>
    <row r="115" spans="12:160" x14ac:dyDescent="0.25">
      <c r="L115" s="4"/>
      <c r="M115" s="4"/>
      <c r="N115" s="4"/>
      <c r="O115" s="5"/>
      <c r="P115" s="4"/>
      <c r="Q115" s="4"/>
      <c r="R115" s="4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</row>
    <row r="116" spans="12:160" x14ac:dyDescent="0.25">
      <c r="L116" s="4"/>
      <c r="M116" s="4"/>
      <c r="N116" s="4"/>
      <c r="O116" s="5"/>
      <c r="P116" s="4"/>
      <c r="Q116" s="4"/>
      <c r="R116" s="4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</row>
    <row r="117" spans="12:160" x14ac:dyDescent="0.25">
      <c r="L117" s="4"/>
      <c r="M117" s="4"/>
      <c r="N117" s="4"/>
      <c r="O117" s="5"/>
      <c r="P117" s="4"/>
      <c r="Q117" s="4"/>
      <c r="R117" s="4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</row>
    <row r="118" spans="12:160" x14ac:dyDescent="0.25">
      <c r="L118" s="4"/>
      <c r="M118" s="4"/>
      <c r="N118" s="4"/>
      <c r="O118" s="5"/>
      <c r="P118" s="4"/>
      <c r="Q118" s="4"/>
      <c r="R118" s="4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</row>
    <row r="119" spans="12:160" x14ac:dyDescent="0.25">
      <c r="L119" s="4"/>
      <c r="M119" s="4"/>
      <c r="N119" s="4"/>
      <c r="O119" s="5"/>
      <c r="P119" s="4"/>
      <c r="Q119" s="4"/>
      <c r="R119" s="4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</row>
    <row r="120" spans="12:160" x14ac:dyDescent="0.25">
      <c r="L120" s="4"/>
      <c r="M120" s="4"/>
      <c r="N120" s="4"/>
      <c r="O120" s="5"/>
      <c r="P120" s="4"/>
      <c r="Q120" s="4"/>
      <c r="R120" s="4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</row>
    <row r="121" spans="12:160" x14ac:dyDescent="0.25">
      <c r="L121" s="4"/>
      <c r="M121" s="4"/>
      <c r="N121" s="4"/>
      <c r="O121" s="5"/>
      <c r="P121" s="4"/>
      <c r="Q121" s="4"/>
      <c r="R121" s="4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</row>
    <row r="122" spans="12:160" x14ac:dyDescent="0.25">
      <c r="L122" s="4"/>
      <c r="M122" s="4"/>
      <c r="N122" s="4"/>
      <c r="O122" s="5"/>
      <c r="P122" s="4"/>
      <c r="Q122" s="4"/>
      <c r="R122" s="4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</row>
    <row r="123" spans="12:160" x14ac:dyDescent="0.25">
      <c r="L123" s="4"/>
      <c r="M123" s="4"/>
      <c r="N123" s="4"/>
      <c r="O123" s="5"/>
      <c r="P123" s="4"/>
      <c r="Q123" s="4"/>
      <c r="R123" s="4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</row>
    <row r="124" spans="12:160" x14ac:dyDescent="0.25">
      <c r="L124" s="4"/>
      <c r="M124" s="4"/>
      <c r="N124" s="4"/>
      <c r="O124" s="5"/>
      <c r="P124" s="4"/>
      <c r="Q124" s="4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</row>
    <row r="125" spans="12:160" x14ac:dyDescent="0.25">
      <c r="L125" s="4"/>
      <c r="M125" s="4"/>
      <c r="N125" s="4"/>
      <c r="O125" s="5"/>
      <c r="P125" s="4"/>
      <c r="Q125" s="4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</row>
    <row r="126" spans="12:160" x14ac:dyDescent="0.25">
      <c r="L126" s="4"/>
      <c r="M126" s="4"/>
      <c r="N126" s="4"/>
      <c r="O126" s="5"/>
      <c r="P126" s="4"/>
      <c r="Q126" s="4"/>
      <c r="R126" s="4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</row>
    <row r="127" spans="12:160" x14ac:dyDescent="0.25">
      <c r="L127" s="4"/>
      <c r="M127" s="4"/>
      <c r="N127" s="4"/>
      <c r="O127" s="5"/>
      <c r="P127" s="4"/>
      <c r="Q127" s="4"/>
      <c r="R127" s="4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</row>
    <row r="128" spans="12:160" x14ac:dyDescent="0.25">
      <c r="L128" s="4"/>
      <c r="M128" s="4"/>
      <c r="N128" s="4"/>
      <c r="O128" s="5"/>
      <c r="P128" s="4"/>
      <c r="Q128" s="4"/>
      <c r="R128" s="4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</row>
    <row r="129" spans="12:160" x14ac:dyDescent="0.25">
      <c r="L129" s="4"/>
      <c r="M129" s="4"/>
      <c r="N129" s="4"/>
      <c r="O129" s="5"/>
      <c r="P129" s="4"/>
      <c r="Q129" s="4"/>
      <c r="R129" s="4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</row>
    <row r="130" spans="12:160" x14ac:dyDescent="0.25">
      <c r="L130" s="4"/>
      <c r="M130" s="4"/>
      <c r="N130" s="4"/>
      <c r="O130" s="5"/>
      <c r="P130" s="4"/>
      <c r="Q130" s="4"/>
      <c r="R130" s="4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</row>
    <row r="131" spans="12:160" x14ac:dyDescent="0.25">
      <c r="L131" s="4"/>
      <c r="M131" s="4"/>
      <c r="N131" s="4"/>
      <c r="O131" s="5"/>
      <c r="P131" s="4"/>
      <c r="Q131" s="4"/>
      <c r="R131" s="4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</row>
    <row r="132" spans="12:160" x14ac:dyDescent="0.25">
      <c r="L132" s="4"/>
      <c r="M132" s="4"/>
      <c r="N132" s="4"/>
      <c r="O132" s="5"/>
      <c r="P132" s="4"/>
      <c r="Q132" s="4"/>
      <c r="R132" s="4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</row>
    <row r="133" spans="12:160" x14ac:dyDescent="0.25">
      <c r="L133" s="4"/>
      <c r="M133" s="4"/>
      <c r="N133" s="4"/>
      <c r="O133" s="5"/>
      <c r="P133" s="4"/>
      <c r="Q133" s="4"/>
      <c r="R133" s="4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</row>
    <row r="134" spans="12:160" x14ac:dyDescent="0.25">
      <c r="L134" s="4"/>
      <c r="M134" s="4"/>
      <c r="N134" s="4"/>
      <c r="O134" s="5"/>
      <c r="P134" s="4"/>
      <c r="Q134" s="4"/>
      <c r="R134" s="4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</row>
    <row r="135" spans="12:160" x14ac:dyDescent="0.25">
      <c r="L135" s="4"/>
      <c r="M135" s="4"/>
      <c r="N135" s="4"/>
      <c r="O135" s="5"/>
      <c r="P135" s="4"/>
      <c r="Q135" s="4"/>
      <c r="R135" s="4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</row>
    <row r="136" spans="12:160" x14ac:dyDescent="0.25">
      <c r="L136" s="4"/>
      <c r="M136" s="4"/>
      <c r="N136" s="4"/>
      <c r="O136" s="5"/>
      <c r="P136" s="4"/>
      <c r="Q136" s="4"/>
      <c r="R136" s="4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</row>
    <row r="137" spans="12:160" x14ac:dyDescent="0.25">
      <c r="L137" s="4"/>
      <c r="M137" s="4"/>
      <c r="N137" s="4"/>
      <c r="O137" s="5"/>
      <c r="P137" s="4"/>
      <c r="Q137" s="4"/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</row>
    <row r="138" spans="12:160" x14ac:dyDescent="0.25">
      <c r="L138" s="4"/>
      <c r="M138" s="4"/>
      <c r="N138" s="4"/>
      <c r="O138" s="5"/>
      <c r="P138" s="4"/>
      <c r="Q138" s="4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</row>
    <row r="139" spans="12:160" x14ac:dyDescent="0.25">
      <c r="L139" s="4"/>
      <c r="M139" s="4"/>
      <c r="N139" s="4"/>
      <c r="O139" s="5"/>
      <c r="P139" s="4"/>
      <c r="Q139" s="4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</row>
    <row r="140" spans="12:160" x14ac:dyDescent="0.25">
      <c r="L140" s="4"/>
      <c r="M140" s="4"/>
      <c r="N140" s="4"/>
      <c r="O140" s="5"/>
      <c r="P140" s="4"/>
      <c r="Q140" s="4"/>
      <c r="R140" s="4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</row>
    <row r="141" spans="12:160" x14ac:dyDescent="0.25">
      <c r="L141" s="4"/>
      <c r="M141" s="4"/>
      <c r="N141" s="4"/>
      <c r="O141" s="5"/>
      <c r="P141" s="4"/>
      <c r="Q141" s="4"/>
      <c r="R141" s="4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</row>
    <row r="142" spans="12:160" x14ac:dyDescent="0.25">
      <c r="L142" s="4"/>
      <c r="M142" s="4"/>
      <c r="N142" s="4"/>
      <c r="O142" s="5"/>
      <c r="P142" s="4"/>
      <c r="Q142" s="4"/>
      <c r="R142" s="4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</row>
    <row r="143" spans="12:160" x14ac:dyDescent="0.25">
      <c r="L143" s="4"/>
      <c r="M143" s="4"/>
      <c r="N143" s="4"/>
      <c r="O143" s="5"/>
      <c r="P143" s="4"/>
      <c r="Q143" s="4"/>
      <c r="R143" s="4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</row>
    <row r="144" spans="12:160" x14ac:dyDescent="0.25">
      <c r="L144" s="4"/>
      <c r="M144" s="4"/>
      <c r="N144" s="4"/>
      <c r="O144" s="5"/>
      <c r="P144" s="4"/>
      <c r="Q144" s="4"/>
      <c r="R144" s="4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</row>
    <row r="145" spans="12:160" x14ac:dyDescent="0.25">
      <c r="L145" s="4"/>
      <c r="M145" s="4"/>
      <c r="N145" s="4"/>
      <c r="O145" s="5"/>
      <c r="P145" s="4"/>
      <c r="Q145" s="4"/>
      <c r="R145" s="4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</row>
    <row r="146" spans="12:160" x14ac:dyDescent="0.25">
      <c r="L146" s="4"/>
      <c r="M146" s="4"/>
      <c r="N146" s="4"/>
      <c r="O146" s="5"/>
      <c r="P146" s="4"/>
      <c r="Q146" s="4"/>
      <c r="R146" s="4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</row>
    <row r="147" spans="12:160" x14ac:dyDescent="0.25">
      <c r="L147" s="4"/>
      <c r="M147" s="4"/>
      <c r="N147" s="4"/>
      <c r="O147" s="5"/>
      <c r="P147" s="4"/>
      <c r="Q147" s="4"/>
      <c r="R147" s="4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</row>
    <row r="148" spans="12:160" x14ac:dyDescent="0.25">
      <c r="L148" s="4"/>
      <c r="M148" s="4"/>
      <c r="N148" s="4"/>
      <c r="O148" s="5"/>
      <c r="P148" s="4"/>
      <c r="Q148" s="4"/>
      <c r="R148" s="4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</row>
    <row r="149" spans="12:160" x14ac:dyDescent="0.25">
      <c r="L149" s="4"/>
      <c r="M149" s="4"/>
      <c r="N149" s="4"/>
      <c r="O149" s="5"/>
      <c r="P149" s="4"/>
      <c r="Q149" s="4"/>
      <c r="R149" s="4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</row>
    <row r="150" spans="12:160" x14ac:dyDescent="0.25">
      <c r="L150" s="4"/>
      <c r="M150" s="4"/>
      <c r="N150" s="4"/>
      <c r="O150" s="5"/>
      <c r="P150" s="4"/>
      <c r="Q150" s="4"/>
      <c r="R150" s="4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</row>
    <row r="151" spans="12:160" x14ac:dyDescent="0.25">
      <c r="L151" s="4"/>
      <c r="M151" s="4"/>
      <c r="N151" s="4"/>
      <c r="O151" s="5"/>
      <c r="P151" s="4"/>
      <c r="Q151" s="4"/>
      <c r="R151" s="4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</row>
    <row r="152" spans="12:160" x14ac:dyDescent="0.25">
      <c r="L152" s="4"/>
      <c r="M152" s="4"/>
      <c r="N152" s="4"/>
      <c r="O152" s="5"/>
      <c r="P152" s="4"/>
      <c r="Q152" s="4"/>
      <c r="R152" s="4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</row>
    <row r="153" spans="12:160" x14ac:dyDescent="0.25">
      <c r="L153" s="4"/>
      <c r="M153" s="4"/>
      <c r="N153" s="4"/>
      <c r="O153" s="5"/>
      <c r="P153" s="4"/>
      <c r="Q153" s="4"/>
      <c r="R153" s="4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</row>
    <row r="154" spans="12:160" x14ac:dyDescent="0.25">
      <c r="L154" s="4"/>
      <c r="M154" s="4"/>
      <c r="N154" s="4"/>
      <c r="O154" s="5"/>
      <c r="P154" s="4"/>
      <c r="Q154" s="4"/>
      <c r="R154" s="4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</row>
    <row r="155" spans="12:160" x14ac:dyDescent="0.25">
      <c r="L155" s="4"/>
      <c r="M155" s="4"/>
      <c r="N155" s="4"/>
      <c r="O155" s="5"/>
      <c r="P155" s="4"/>
      <c r="Q155" s="4"/>
      <c r="R155" s="4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</row>
    <row r="156" spans="12:160" x14ac:dyDescent="0.25">
      <c r="L156" s="4"/>
      <c r="M156" s="4"/>
      <c r="N156" s="4"/>
      <c r="O156" s="5"/>
      <c r="P156" s="4"/>
      <c r="Q156" s="4"/>
      <c r="R156" s="4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</row>
    <row r="157" spans="12:160" x14ac:dyDescent="0.25">
      <c r="L157" s="4"/>
      <c r="M157" s="4"/>
      <c r="N157" s="4"/>
      <c r="O157" s="5"/>
      <c r="P157" s="4"/>
      <c r="Q157" s="4"/>
      <c r="R157" s="4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</row>
    <row r="158" spans="12:160" x14ac:dyDescent="0.25">
      <c r="L158" s="4"/>
      <c r="M158" s="4"/>
      <c r="N158" s="4"/>
      <c r="O158" s="5"/>
      <c r="P158" s="4"/>
      <c r="Q158" s="4"/>
      <c r="R158" s="4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</row>
    <row r="159" spans="12:160" x14ac:dyDescent="0.25">
      <c r="L159" s="4"/>
      <c r="M159" s="4"/>
      <c r="N159" s="4"/>
      <c r="O159" s="5"/>
      <c r="P159" s="4"/>
      <c r="Q159" s="4"/>
      <c r="R159" s="4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</row>
    <row r="160" spans="12:160" x14ac:dyDescent="0.25">
      <c r="L160" s="4"/>
      <c r="M160" s="4"/>
      <c r="N160" s="4"/>
      <c r="O160" s="5"/>
      <c r="P160" s="4"/>
      <c r="Q160" s="4"/>
      <c r="R160" s="4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</row>
    <row r="161" spans="12:160" x14ac:dyDescent="0.25">
      <c r="L161" s="4"/>
      <c r="M161" s="4"/>
      <c r="N161" s="4"/>
      <c r="O161" s="5"/>
      <c r="P161" s="4"/>
      <c r="Q161" s="4"/>
      <c r="R161" s="4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</row>
    <row r="162" spans="12:160" x14ac:dyDescent="0.25">
      <c r="L162" s="4"/>
      <c r="M162" s="4"/>
      <c r="N162" s="4"/>
      <c r="O162" s="5"/>
      <c r="P162" s="4"/>
      <c r="Q162" s="4"/>
      <c r="R162" s="4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</row>
    <row r="163" spans="12:160" x14ac:dyDescent="0.25">
      <c r="L163" s="4"/>
      <c r="M163" s="4"/>
      <c r="N163" s="4"/>
      <c r="O163" s="5"/>
      <c r="P163" s="4"/>
      <c r="Q163" s="4"/>
      <c r="R163" s="4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</row>
    <row r="164" spans="12:160" x14ac:dyDescent="0.25">
      <c r="L164" s="4"/>
      <c r="M164" s="4"/>
      <c r="N164" s="4"/>
      <c r="O164" s="5"/>
      <c r="P164" s="4"/>
      <c r="Q164" s="4"/>
      <c r="R164" s="4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</row>
    <row r="165" spans="12:160" x14ac:dyDescent="0.25">
      <c r="L165" s="4"/>
      <c r="M165" s="4"/>
      <c r="N165" s="4"/>
      <c r="O165" s="5"/>
      <c r="P165" s="4"/>
      <c r="Q165" s="4"/>
      <c r="R165" s="4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</row>
    <row r="166" spans="12:160" x14ac:dyDescent="0.25">
      <c r="L166" s="4"/>
      <c r="M166" s="4"/>
      <c r="N166" s="4"/>
      <c r="O166" s="5"/>
      <c r="P166" s="4"/>
      <c r="Q166" s="4"/>
      <c r="R166" s="4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</row>
    <row r="167" spans="12:160" x14ac:dyDescent="0.25">
      <c r="L167" s="4"/>
      <c r="M167" s="4"/>
      <c r="N167" s="4"/>
      <c r="O167" s="5"/>
      <c r="P167" s="4"/>
      <c r="Q167" s="4"/>
      <c r="R167" s="4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</row>
    <row r="168" spans="12:160" x14ac:dyDescent="0.25">
      <c r="L168" s="4"/>
      <c r="M168" s="4"/>
      <c r="N168" s="4"/>
      <c r="O168" s="5"/>
      <c r="P168" s="4"/>
      <c r="Q168" s="4"/>
      <c r="R168" s="4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</row>
    <row r="169" spans="12:160" x14ac:dyDescent="0.25">
      <c r="L169" s="4"/>
      <c r="M169" s="4"/>
      <c r="N169" s="4"/>
      <c r="O169" s="5"/>
      <c r="P169" s="4"/>
      <c r="Q169" s="4"/>
      <c r="R169" s="4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</row>
    <row r="170" spans="12:160" x14ac:dyDescent="0.25">
      <c r="L170" s="4"/>
      <c r="M170" s="4"/>
      <c r="N170" s="4"/>
      <c r="O170" s="5"/>
      <c r="P170" s="4"/>
      <c r="Q170" s="4"/>
      <c r="R170" s="4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</row>
    <row r="171" spans="12:160" x14ac:dyDescent="0.25">
      <c r="L171" s="4"/>
      <c r="M171" s="4"/>
      <c r="N171" s="4"/>
      <c r="O171" s="5"/>
      <c r="P171" s="4"/>
      <c r="Q171" s="4"/>
      <c r="R171" s="4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</row>
    <row r="172" spans="12:160" x14ac:dyDescent="0.25">
      <c r="L172" s="4"/>
      <c r="M172" s="4"/>
      <c r="N172" s="4"/>
      <c r="O172" s="5"/>
      <c r="P172" s="4"/>
      <c r="Q172" s="4"/>
      <c r="R172" s="4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</row>
    <row r="173" spans="12:160" x14ac:dyDescent="0.25">
      <c r="L173" s="4"/>
      <c r="M173" s="4"/>
      <c r="N173" s="4"/>
      <c r="O173" s="5"/>
      <c r="P173" s="4"/>
      <c r="Q173" s="4"/>
      <c r="R173" s="4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</row>
    <row r="174" spans="12:160" x14ac:dyDescent="0.25">
      <c r="L174" s="4"/>
      <c r="M174" s="4"/>
      <c r="N174" s="4"/>
      <c r="O174" s="5"/>
      <c r="P174" s="4"/>
      <c r="Q174" s="4"/>
      <c r="R174" s="4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</row>
    <row r="175" spans="12:160" x14ac:dyDescent="0.25">
      <c r="L175" s="4"/>
      <c r="M175" s="4"/>
      <c r="N175" s="4"/>
      <c r="O175" s="5"/>
      <c r="P175" s="4"/>
      <c r="Q175" s="4"/>
      <c r="R175" s="4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</row>
    <row r="176" spans="12:160" x14ac:dyDescent="0.25">
      <c r="L176" s="4"/>
      <c r="M176" s="4"/>
      <c r="N176" s="4"/>
      <c r="O176" s="5"/>
      <c r="P176" s="4"/>
      <c r="Q176" s="4"/>
      <c r="R176" s="4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</row>
    <row r="177" spans="12:160" x14ac:dyDescent="0.25">
      <c r="L177" s="4"/>
      <c r="M177" s="4"/>
      <c r="N177" s="4"/>
      <c r="O177" s="5"/>
      <c r="P177" s="4"/>
      <c r="Q177" s="4"/>
      <c r="R177" s="4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</row>
    <row r="178" spans="12:160" x14ac:dyDescent="0.25">
      <c r="L178" s="4"/>
      <c r="M178" s="4"/>
      <c r="N178" s="4"/>
      <c r="O178" s="5"/>
      <c r="P178" s="4"/>
      <c r="Q178" s="4"/>
      <c r="R178" s="4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</row>
    <row r="179" spans="12:160" x14ac:dyDescent="0.25">
      <c r="L179" s="4"/>
      <c r="M179" s="4"/>
      <c r="N179" s="4"/>
      <c r="O179" s="5"/>
      <c r="P179" s="4"/>
      <c r="Q179" s="4"/>
      <c r="R179" s="4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</row>
    <row r="180" spans="12:160" x14ac:dyDescent="0.25">
      <c r="L180" s="4"/>
      <c r="M180" s="4"/>
      <c r="N180" s="4"/>
      <c r="O180" s="5"/>
      <c r="P180" s="4"/>
      <c r="Q180" s="4"/>
      <c r="R180" s="4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</row>
    <row r="181" spans="12:160" x14ac:dyDescent="0.25">
      <c r="L181" s="4"/>
      <c r="M181" s="4"/>
      <c r="N181" s="4"/>
      <c r="O181" s="5"/>
      <c r="P181" s="4"/>
      <c r="Q181" s="4"/>
      <c r="R181" s="4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</row>
    <row r="182" spans="12:160" x14ac:dyDescent="0.25">
      <c r="L182" s="4"/>
      <c r="M182" s="4"/>
      <c r="N182" s="4"/>
      <c r="O182" s="5"/>
      <c r="P182" s="4"/>
      <c r="Q182" s="4"/>
      <c r="R182" s="4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</row>
    <row r="183" spans="12:160" x14ac:dyDescent="0.25">
      <c r="L183" s="4"/>
      <c r="M183" s="4"/>
      <c r="N183" s="4"/>
      <c r="O183" s="5"/>
      <c r="P183" s="4"/>
      <c r="Q183" s="4"/>
      <c r="R183" s="4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</row>
    <row r="184" spans="12:160" x14ac:dyDescent="0.25">
      <c r="L184" s="4"/>
      <c r="M184" s="4"/>
      <c r="N184" s="4"/>
      <c r="O184" s="5"/>
      <c r="P184" s="4"/>
      <c r="Q184" s="4"/>
      <c r="R184" s="4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</row>
    <row r="185" spans="12:160" x14ac:dyDescent="0.25">
      <c r="L185" s="4"/>
      <c r="M185" s="4"/>
      <c r="N185" s="4"/>
      <c r="O185" s="5"/>
      <c r="P185" s="4"/>
      <c r="Q185" s="4"/>
      <c r="R185" s="4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</row>
    <row r="186" spans="12:160" x14ac:dyDescent="0.25">
      <c r="L186" s="4"/>
      <c r="M186" s="4"/>
      <c r="N186" s="4"/>
      <c r="O186" s="5"/>
      <c r="P186" s="4"/>
      <c r="Q186" s="4"/>
      <c r="R186" s="4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</row>
    <row r="187" spans="12:160" x14ac:dyDescent="0.25">
      <c r="L187" s="4"/>
      <c r="M187" s="4"/>
      <c r="N187" s="4"/>
      <c r="O187" s="5"/>
      <c r="P187" s="4"/>
      <c r="Q187" s="4"/>
      <c r="R187" s="4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</row>
    <row r="188" spans="12:160" x14ac:dyDescent="0.25">
      <c r="L188" s="4"/>
      <c r="M188" s="4"/>
      <c r="N188" s="4"/>
      <c r="O188" s="5"/>
      <c r="P188" s="4"/>
      <c r="Q188" s="4"/>
      <c r="R188" s="4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</row>
    <row r="189" spans="12:160" x14ac:dyDescent="0.25">
      <c r="L189" s="4"/>
      <c r="M189" s="4"/>
      <c r="N189" s="4"/>
      <c r="O189" s="5"/>
      <c r="P189" s="4"/>
      <c r="Q189" s="4"/>
      <c r="R189" s="4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</row>
    <row r="190" spans="12:160" x14ac:dyDescent="0.25">
      <c r="L190" s="4"/>
      <c r="M190" s="4"/>
      <c r="N190" s="4"/>
      <c r="O190" s="5"/>
      <c r="P190" s="4"/>
      <c r="Q190" s="4"/>
      <c r="R190" s="4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</row>
    <row r="191" spans="12:160" x14ac:dyDescent="0.25">
      <c r="L191" s="4"/>
      <c r="M191" s="4"/>
      <c r="N191" s="4"/>
      <c r="O191" s="5"/>
      <c r="P191" s="4"/>
      <c r="Q191" s="4"/>
      <c r="R191" s="4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</row>
    <row r="192" spans="12:160" x14ac:dyDescent="0.25">
      <c r="L192" s="4"/>
      <c r="M192" s="4"/>
      <c r="N192" s="4"/>
      <c r="O192" s="5"/>
      <c r="P192" s="4"/>
      <c r="Q192" s="4"/>
      <c r="R192" s="4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</row>
    <row r="193" spans="12:160" x14ac:dyDescent="0.25">
      <c r="L193" s="4"/>
      <c r="M193" s="4"/>
      <c r="N193" s="4"/>
      <c r="O193" s="5"/>
      <c r="P193" s="4"/>
      <c r="Q193" s="4"/>
      <c r="R193" s="4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</row>
    <row r="194" spans="12:160" x14ac:dyDescent="0.25">
      <c r="L194" s="4"/>
      <c r="M194" s="4"/>
      <c r="N194" s="4"/>
      <c r="O194" s="5"/>
      <c r="P194" s="4"/>
      <c r="Q194" s="4"/>
      <c r="R194" s="4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</row>
    <row r="195" spans="12:160" x14ac:dyDescent="0.25">
      <c r="L195" s="4"/>
      <c r="M195" s="4"/>
      <c r="N195" s="4"/>
      <c r="O195" s="5"/>
      <c r="P195" s="4"/>
      <c r="Q195" s="4"/>
      <c r="R195" s="4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</row>
    <row r="196" spans="12:160" x14ac:dyDescent="0.25">
      <c r="L196" s="4"/>
      <c r="M196" s="4"/>
      <c r="N196" s="4"/>
      <c r="O196" s="5"/>
      <c r="P196" s="4"/>
      <c r="Q196" s="4"/>
      <c r="R196" s="4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</row>
    <row r="197" spans="12:160" x14ac:dyDescent="0.25">
      <c r="L197" s="4"/>
      <c r="M197" s="4"/>
      <c r="N197" s="4"/>
      <c r="O197" s="5"/>
      <c r="P197" s="4"/>
      <c r="Q197" s="4"/>
      <c r="R197" s="4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</row>
    <row r="198" spans="12:160" x14ac:dyDescent="0.25">
      <c r="L198" s="4"/>
      <c r="M198" s="4"/>
      <c r="N198" s="4"/>
      <c r="O198" s="5"/>
      <c r="P198" s="4"/>
      <c r="Q198" s="4"/>
      <c r="R198" s="4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</row>
    <row r="199" spans="12:160" x14ac:dyDescent="0.25">
      <c r="L199" s="4"/>
      <c r="M199" s="4"/>
      <c r="N199" s="4"/>
      <c r="O199" s="5"/>
      <c r="P199" s="4"/>
      <c r="Q199" s="4"/>
      <c r="R199" s="4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</row>
    <row r="200" spans="12:160" x14ac:dyDescent="0.25">
      <c r="L200" s="4"/>
      <c r="M200" s="4"/>
      <c r="N200" s="4"/>
      <c r="O200" s="5"/>
      <c r="P200" s="4"/>
      <c r="Q200" s="4"/>
      <c r="R200" s="4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</row>
    <row r="201" spans="12:160" x14ac:dyDescent="0.25">
      <c r="L201" s="4"/>
      <c r="M201" s="4"/>
      <c r="N201" s="4"/>
      <c r="O201" s="5"/>
      <c r="P201" s="4"/>
      <c r="Q201" s="4"/>
      <c r="R201" s="4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</row>
    <row r="202" spans="12:160" x14ac:dyDescent="0.25">
      <c r="L202" s="4"/>
      <c r="M202" s="4"/>
      <c r="N202" s="4"/>
      <c r="O202" s="5"/>
      <c r="P202" s="4"/>
      <c r="Q202" s="4"/>
      <c r="R202" s="4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</row>
    <row r="203" spans="12:160" x14ac:dyDescent="0.25">
      <c r="L203" s="4"/>
      <c r="M203" s="4"/>
      <c r="N203" s="4"/>
      <c r="O203" s="5"/>
      <c r="P203" s="4"/>
      <c r="Q203" s="4"/>
      <c r="R203" s="4"/>
      <c r="S203" s="4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</row>
    <row r="204" spans="12:160" x14ac:dyDescent="0.25">
      <c r="L204" s="4"/>
      <c r="M204" s="4"/>
      <c r="N204" s="4"/>
      <c r="O204" s="5"/>
      <c r="P204" s="4"/>
      <c r="Q204" s="4"/>
      <c r="R204" s="4"/>
      <c r="S204" s="4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</row>
    <row r="205" spans="12:160" x14ac:dyDescent="0.25">
      <c r="L205" s="4"/>
      <c r="M205" s="4"/>
      <c r="N205" s="4"/>
      <c r="O205" s="5"/>
      <c r="P205" s="4"/>
      <c r="Q205" s="4"/>
      <c r="R205" s="4"/>
      <c r="S205" s="4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</row>
    <row r="206" spans="12:160" x14ac:dyDescent="0.25">
      <c r="L206" s="4"/>
      <c r="M206" s="4"/>
      <c r="N206" s="4"/>
      <c r="O206" s="5"/>
      <c r="P206" s="4"/>
      <c r="Q206" s="4"/>
      <c r="R206" s="4"/>
      <c r="S206" s="4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</row>
    <row r="207" spans="12:160" x14ac:dyDescent="0.25">
      <c r="L207" s="4"/>
      <c r="M207" s="4"/>
      <c r="N207" s="4"/>
      <c r="O207" s="5"/>
      <c r="P207" s="4"/>
      <c r="Q207" s="4"/>
      <c r="R207" s="4"/>
      <c r="S207" s="4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</row>
    <row r="208" spans="12:160" x14ac:dyDescent="0.25">
      <c r="L208" s="4"/>
      <c r="M208" s="4"/>
      <c r="N208" s="4"/>
      <c r="O208" s="5"/>
      <c r="P208" s="4"/>
      <c r="Q208" s="4"/>
      <c r="R208" s="4"/>
      <c r="S208" s="4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</row>
    <row r="209" spans="12:160" x14ac:dyDescent="0.25">
      <c r="L209" s="4"/>
      <c r="M209" s="4"/>
      <c r="N209" s="4"/>
      <c r="O209" s="5"/>
      <c r="P209" s="4"/>
      <c r="Q209" s="4"/>
      <c r="R209" s="4"/>
      <c r="S209" s="4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</row>
    <row r="210" spans="12:160" x14ac:dyDescent="0.25">
      <c r="L210" s="4"/>
      <c r="M210" s="4"/>
      <c r="N210" s="4"/>
      <c r="O210" s="5"/>
      <c r="P210" s="4"/>
      <c r="Q210" s="4"/>
      <c r="R210" s="4"/>
      <c r="S210" s="4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</row>
    <row r="211" spans="12:160" x14ac:dyDescent="0.25">
      <c r="L211" s="4"/>
      <c r="M211" s="4"/>
      <c r="N211" s="4"/>
      <c r="O211" s="5"/>
      <c r="P211" s="4"/>
      <c r="Q211" s="4"/>
      <c r="R211" s="4"/>
      <c r="S211" s="4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</row>
    <row r="212" spans="12:160" x14ac:dyDescent="0.25">
      <c r="L212" s="4"/>
      <c r="M212" s="4"/>
      <c r="N212" s="4"/>
      <c r="O212" s="5"/>
      <c r="P212" s="4"/>
      <c r="Q212" s="4"/>
      <c r="R212" s="4"/>
      <c r="S212" s="4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</row>
    <row r="213" spans="12:160" x14ac:dyDescent="0.25">
      <c r="L213" s="4"/>
      <c r="M213" s="4"/>
      <c r="N213" s="4"/>
      <c r="O213" s="5"/>
      <c r="P213" s="4"/>
      <c r="Q213" s="4"/>
      <c r="R213" s="4"/>
      <c r="S213" s="4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</row>
    <row r="214" spans="12:160" x14ac:dyDescent="0.25">
      <c r="L214" s="4"/>
      <c r="M214" s="4"/>
      <c r="N214" s="4"/>
      <c r="O214" s="5"/>
      <c r="P214" s="4"/>
      <c r="Q214" s="4"/>
      <c r="R214" s="4"/>
      <c r="S214" s="4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</row>
    <row r="215" spans="12:160" x14ac:dyDescent="0.25">
      <c r="L215" s="4"/>
      <c r="M215" s="4"/>
      <c r="N215" s="4"/>
      <c r="O215" s="5"/>
      <c r="P215" s="4"/>
      <c r="Q215" s="4"/>
      <c r="R215" s="4"/>
      <c r="S215" s="4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</row>
    <row r="216" spans="12:160" x14ac:dyDescent="0.25">
      <c r="L216" s="4"/>
      <c r="M216" s="4"/>
      <c r="N216" s="4"/>
      <c r="O216" s="5"/>
      <c r="P216" s="4"/>
      <c r="Q216" s="4"/>
      <c r="R216" s="4"/>
      <c r="S216" s="4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</row>
    <row r="217" spans="12:160" x14ac:dyDescent="0.25">
      <c r="L217" s="4"/>
      <c r="M217" s="4"/>
      <c r="N217" s="4"/>
      <c r="O217" s="5"/>
      <c r="P217" s="4"/>
      <c r="Q217" s="4"/>
      <c r="R217" s="4"/>
      <c r="S217" s="4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</row>
    <row r="218" spans="12:160" x14ac:dyDescent="0.25">
      <c r="L218" s="4"/>
      <c r="M218" s="4"/>
      <c r="N218" s="4"/>
      <c r="O218" s="5"/>
      <c r="P218" s="4"/>
      <c r="Q218" s="4"/>
      <c r="R218" s="4"/>
      <c r="S218" s="4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</row>
    <row r="219" spans="12:160" x14ac:dyDescent="0.25">
      <c r="L219" s="4"/>
      <c r="M219" s="4"/>
      <c r="N219" s="4"/>
      <c r="O219" s="5"/>
      <c r="P219" s="4"/>
      <c r="Q219" s="4"/>
      <c r="R219" s="4"/>
      <c r="S219" s="4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</row>
    <row r="220" spans="12:160" x14ac:dyDescent="0.25">
      <c r="L220" s="4"/>
      <c r="M220" s="4"/>
      <c r="N220" s="4"/>
      <c r="O220" s="5"/>
      <c r="P220" s="4"/>
      <c r="Q220" s="4"/>
      <c r="R220" s="4"/>
      <c r="S220" s="4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</row>
    <row r="221" spans="12:160" x14ac:dyDescent="0.25">
      <c r="L221" s="4"/>
      <c r="M221" s="4"/>
      <c r="N221" s="4"/>
      <c r="O221" s="5"/>
      <c r="P221" s="4"/>
      <c r="Q221" s="4"/>
      <c r="R221" s="4"/>
      <c r="S221" s="4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</row>
    <row r="222" spans="12:160" x14ac:dyDescent="0.25">
      <c r="L222" s="4"/>
      <c r="M222" s="4"/>
      <c r="N222" s="4"/>
      <c r="O222" s="5"/>
      <c r="P222" s="4"/>
      <c r="Q222" s="4"/>
      <c r="R222" s="4"/>
      <c r="S222" s="4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</row>
    <row r="223" spans="12:160" x14ac:dyDescent="0.25">
      <c r="L223" s="4"/>
      <c r="M223" s="4"/>
      <c r="N223" s="4"/>
      <c r="O223" s="5"/>
      <c r="P223" s="4"/>
      <c r="Q223" s="4"/>
      <c r="R223" s="4"/>
      <c r="S223" s="4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</row>
    <row r="224" spans="12:160" x14ac:dyDescent="0.25">
      <c r="L224" s="4"/>
      <c r="M224" s="4"/>
      <c r="N224" s="4"/>
      <c r="O224" s="5"/>
      <c r="P224" s="4"/>
      <c r="Q224" s="4"/>
      <c r="R224" s="4"/>
      <c r="S224" s="4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</row>
    <row r="225" spans="12:160" x14ac:dyDescent="0.25">
      <c r="L225" s="4"/>
      <c r="M225" s="4"/>
      <c r="N225" s="4"/>
      <c r="O225" s="5"/>
      <c r="P225" s="4"/>
      <c r="Q225" s="4"/>
      <c r="R225" s="4"/>
      <c r="S225" s="4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</row>
    <row r="226" spans="12:160" x14ac:dyDescent="0.25">
      <c r="L226" s="4"/>
      <c r="M226" s="4"/>
      <c r="N226" s="4"/>
      <c r="O226" s="5"/>
      <c r="P226" s="4"/>
      <c r="Q226" s="4"/>
      <c r="R226" s="4"/>
      <c r="S226" s="4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</row>
    <row r="227" spans="12:160" x14ac:dyDescent="0.25">
      <c r="L227" s="4"/>
      <c r="M227" s="4"/>
      <c r="N227" s="4"/>
      <c r="O227" s="5"/>
      <c r="P227" s="4"/>
      <c r="Q227" s="4"/>
      <c r="R227" s="4"/>
      <c r="S227" s="4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</row>
    <row r="228" spans="12:160" x14ac:dyDescent="0.25">
      <c r="L228" s="4"/>
      <c r="M228" s="4"/>
      <c r="N228" s="4"/>
      <c r="O228" s="5"/>
      <c r="P228" s="4"/>
      <c r="Q228" s="4"/>
      <c r="R228" s="4"/>
      <c r="S228" s="4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</row>
    <row r="229" spans="12:160" x14ac:dyDescent="0.25">
      <c r="L229" s="4"/>
      <c r="M229" s="4"/>
      <c r="N229" s="4"/>
      <c r="O229" s="5"/>
      <c r="P229" s="4"/>
      <c r="Q229" s="4"/>
      <c r="R229" s="4"/>
      <c r="S229" s="4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</row>
    <row r="230" spans="12:160" x14ac:dyDescent="0.25">
      <c r="L230" s="4"/>
      <c r="M230" s="4"/>
      <c r="N230" s="4"/>
      <c r="O230" s="5"/>
      <c r="P230" s="4"/>
      <c r="Q230" s="4"/>
      <c r="R230" s="4"/>
      <c r="S230" s="4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</row>
    <row r="231" spans="12:160" x14ac:dyDescent="0.25">
      <c r="L231" s="4"/>
      <c r="M231" s="4"/>
      <c r="N231" s="4"/>
      <c r="O231" s="5"/>
      <c r="P231" s="4"/>
      <c r="Q231" s="4"/>
      <c r="R231" s="4"/>
      <c r="S231" s="4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</row>
    <row r="232" spans="12:160" x14ac:dyDescent="0.25">
      <c r="L232" s="4"/>
      <c r="M232" s="4"/>
      <c r="N232" s="4"/>
      <c r="O232" s="5"/>
      <c r="P232" s="4"/>
      <c r="Q232" s="4"/>
      <c r="R232" s="4"/>
      <c r="S232" s="4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</row>
    <row r="233" spans="12:160" x14ac:dyDescent="0.25">
      <c r="L233" s="4"/>
      <c r="M233" s="4"/>
      <c r="N233" s="4"/>
      <c r="O233" s="5"/>
      <c r="P233" s="4"/>
      <c r="Q233" s="4"/>
      <c r="R233" s="4"/>
      <c r="S233" s="4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</row>
    <row r="234" spans="12:160" x14ac:dyDescent="0.25">
      <c r="L234" s="4"/>
      <c r="M234" s="4"/>
      <c r="N234" s="4"/>
      <c r="O234" s="5"/>
      <c r="P234" s="4"/>
      <c r="Q234" s="4"/>
      <c r="R234" s="4"/>
      <c r="S234" s="4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</row>
    <row r="235" spans="12:160" x14ac:dyDescent="0.25">
      <c r="L235" s="4"/>
      <c r="M235" s="4"/>
      <c r="N235" s="4"/>
      <c r="O235" s="5"/>
      <c r="P235" s="4"/>
      <c r="Q235" s="4"/>
      <c r="R235" s="4"/>
      <c r="S235" s="4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</row>
    <row r="236" spans="12:160" x14ac:dyDescent="0.25">
      <c r="L236" s="4"/>
      <c r="M236" s="4"/>
      <c r="N236" s="4"/>
      <c r="O236" s="5"/>
      <c r="P236" s="4"/>
      <c r="Q236" s="4"/>
      <c r="R236" s="4"/>
      <c r="S236" s="4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</row>
    <row r="237" spans="12:160" x14ac:dyDescent="0.25">
      <c r="L237" s="4"/>
      <c r="M237" s="4"/>
      <c r="N237" s="4"/>
      <c r="O237" s="5"/>
      <c r="P237" s="4"/>
      <c r="Q237" s="4"/>
      <c r="R237" s="4"/>
      <c r="S237" s="4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</row>
    <row r="238" spans="12:160" x14ac:dyDescent="0.25">
      <c r="L238" s="4"/>
      <c r="M238" s="4"/>
      <c r="N238" s="4"/>
      <c r="O238" s="5"/>
      <c r="P238" s="4"/>
      <c r="Q238" s="4"/>
      <c r="R238" s="4"/>
      <c r="S238" s="4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</row>
    <row r="239" spans="12:160" x14ac:dyDescent="0.25">
      <c r="L239" s="4"/>
      <c r="M239" s="4"/>
      <c r="N239" s="4"/>
      <c r="O239" s="5"/>
      <c r="P239" s="4"/>
      <c r="Q239" s="4"/>
      <c r="R239" s="4"/>
      <c r="S239" s="4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</row>
    <row r="240" spans="12:160" x14ac:dyDescent="0.25">
      <c r="L240" s="4"/>
      <c r="M240" s="4"/>
      <c r="N240" s="4"/>
      <c r="O240" s="5"/>
      <c r="P240" s="4"/>
      <c r="Q240" s="4"/>
      <c r="R240" s="4"/>
      <c r="S240" s="4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</row>
    <row r="241" spans="12:160" x14ac:dyDescent="0.25">
      <c r="L241" s="4"/>
      <c r="M241" s="4"/>
      <c r="N241" s="4"/>
      <c r="O241" s="5"/>
      <c r="P241" s="4"/>
      <c r="Q241" s="4"/>
      <c r="R241" s="4"/>
      <c r="S241" s="4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</row>
    <row r="242" spans="12:160" x14ac:dyDescent="0.25">
      <c r="L242" s="4"/>
      <c r="M242" s="4"/>
      <c r="N242" s="4"/>
      <c r="O242" s="5"/>
      <c r="P242" s="4"/>
      <c r="Q242" s="4"/>
      <c r="R242" s="4"/>
      <c r="S242" s="4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</row>
    <row r="243" spans="12:160" x14ac:dyDescent="0.25">
      <c r="L243" s="4"/>
      <c r="M243" s="4"/>
      <c r="N243" s="4"/>
      <c r="O243" s="5"/>
      <c r="P243" s="4"/>
      <c r="Q243" s="4"/>
      <c r="R243" s="4"/>
      <c r="S243" s="4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</row>
    <row r="244" spans="12:160" x14ac:dyDescent="0.25">
      <c r="L244" s="4"/>
      <c r="M244" s="4"/>
      <c r="N244" s="4"/>
      <c r="O244" s="5"/>
      <c r="P244" s="4"/>
      <c r="Q244" s="4"/>
      <c r="R244" s="4"/>
      <c r="S244" s="4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</row>
    <row r="245" spans="12:160" x14ac:dyDescent="0.25">
      <c r="L245" s="4"/>
      <c r="M245" s="4"/>
      <c r="N245" s="4"/>
      <c r="O245" s="5"/>
      <c r="P245" s="4"/>
      <c r="Q245" s="4"/>
      <c r="R245" s="4"/>
      <c r="S245" s="4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</row>
    <row r="246" spans="12:160" x14ac:dyDescent="0.25">
      <c r="L246" s="4"/>
      <c r="M246" s="4"/>
      <c r="N246" s="4"/>
      <c r="O246" s="5"/>
      <c r="P246" s="4"/>
      <c r="Q246" s="4"/>
      <c r="R246" s="4"/>
      <c r="S246" s="4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</row>
    <row r="247" spans="12:160" x14ac:dyDescent="0.25">
      <c r="L247" s="4"/>
      <c r="M247" s="4"/>
      <c r="N247" s="4"/>
      <c r="O247" s="5"/>
      <c r="P247" s="4"/>
      <c r="Q247" s="4"/>
      <c r="R247" s="4"/>
      <c r="S247" s="4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</row>
    <row r="248" spans="12:160" x14ac:dyDescent="0.25">
      <c r="L248" s="4"/>
      <c r="M248" s="4"/>
      <c r="N248" s="4"/>
      <c r="O248" s="5"/>
      <c r="P248" s="4"/>
      <c r="Q248" s="4"/>
      <c r="R248" s="4"/>
      <c r="S248" s="4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</row>
    <row r="249" spans="12:160" x14ac:dyDescent="0.25">
      <c r="L249" s="4"/>
      <c r="M249" s="4"/>
      <c r="N249" s="4"/>
      <c r="O249" s="5"/>
      <c r="P249" s="4"/>
      <c r="Q249" s="4"/>
      <c r="R249" s="4"/>
      <c r="S249" s="4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</row>
    <row r="250" spans="12:160" x14ac:dyDescent="0.25">
      <c r="L250" s="4"/>
      <c r="M250" s="4"/>
      <c r="N250" s="4"/>
      <c r="O250" s="5"/>
      <c r="P250" s="4"/>
      <c r="Q250" s="4"/>
      <c r="R250" s="4"/>
      <c r="S250" s="4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</row>
    <row r="251" spans="12:160" x14ac:dyDescent="0.25">
      <c r="L251" s="4"/>
      <c r="M251" s="4"/>
      <c r="N251" s="4"/>
      <c r="O251" s="5"/>
      <c r="P251" s="4"/>
      <c r="Q251" s="4"/>
      <c r="R251" s="4"/>
      <c r="S251" s="4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</row>
    <row r="252" spans="12:160" x14ac:dyDescent="0.25">
      <c r="L252" s="4"/>
      <c r="M252" s="4"/>
      <c r="N252" s="4"/>
      <c r="O252" s="5"/>
      <c r="P252" s="4"/>
      <c r="Q252" s="4"/>
      <c r="R252" s="4"/>
      <c r="S252" s="4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</row>
    <row r="253" spans="12:160" x14ac:dyDescent="0.25">
      <c r="L253" s="4"/>
      <c r="M253" s="4"/>
      <c r="N253" s="4"/>
      <c r="O253" s="5"/>
      <c r="P253" s="4"/>
      <c r="Q253" s="4"/>
      <c r="R253" s="4"/>
      <c r="S253" s="4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</row>
    <row r="254" spans="12:160" x14ac:dyDescent="0.25">
      <c r="L254" s="4"/>
      <c r="M254" s="4"/>
      <c r="N254" s="4"/>
      <c r="O254" s="5"/>
      <c r="P254" s="4"/>
      <c r="Q254" s="4"/>
      <c r="R254" s="4"/>
      <c r="S254" s="4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</row>
    <row r="255" spans="12:160" x14ac:dyDescent="0.25">
      <c r="L255" s="4"/>
      <c r="M255" s="4"/>
      <c r="N255" s="4"/>
      <c r="O255" s="5"/>
      <c r="P255" s="4"/>
      <c r="Q255" s="4"/>
      <c r="R255" s="4"/>
      <c r="S255" s="4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</row>
    <row r="256" spans="12:160" x14ac:dyDescent="0.25">
      <c r="L256" s="4"/>
      <c r="M256" s="4"/>
      <c r="N256" s="4"/>
      <c r="O256" s="5"/>
      <c r="P256" s="4"/>
      <c r="Q256" s="4"/>
      <c r="R256" s="4"/>
      <c r="S256" s="4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</row>
    <row r="257" spans="12:160" x14ac:dyDescent="0.25">
      <c r="L257" s="4"/>
      <c r="M257" s="4"/>
      <c r="N257" s="4"/>
      <c r="O257" s="5"/>
      <c r="P257" s="4"/>
      <c r="Q257" s="4"/>
      <c r="R257" s="4"/>
      <c r="S257" s="4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</row>
    <row r="258" spans="12:160" x14ac:dyDescent="0.25">
      <c r="L258" s="4"/>
      <c r="M258" s="4"/>
      <c r="N258" s="4"/>
      <c r="O258" s="5"/>
      <c r="P258" s="4"/>
      <c r="Q258" s="4"/>
      <c r="R258" s="4"/>
      <c r="S258" s="4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</row>
    <row r="259" spans="12:160" x14ac:dyDescent="0.25">
      <c r="L259" s="4"/>
      <c r="M259" s="4"/>
      <c r="N259" s="4"/>
      <c r="O259" s="5"/>
      <c r="P259" s="4"/>
      <c r="Q259" s="4"/>
      <c r="R259" s="4"/>
      <c r="S259" s="4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</row>
    <row r="260" spans="12:160" x14ac:dyDescent="0.25">
      <c r="L260" s="4"/>
      <c r="M260" s="4"/>
      <c r="N260" s="4"/>
      <c r="O260" s="5"/>
      <c r="P260" s="4"/>
      <c r="Q260" s="4"/>
      <c r="R260" s="4"/>
      <c r="S260" s="4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</row>
    <row r="261" spans="12:160" x14ac:dyDescent="0.25">
      <c r="L261" s="4"/>
      <c r="M261" s="4"/>
      <c r="N261" s="4"/>
      <c r="O261" s="5"/>
      <c r="P261" s="4"/>
      <c r="Q261" s="4"/>
      <c r="R261" s="4"/>
      <c r="S261" s="4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</row>
    <row r="262" spans="12:160" x14ac:dyDescent="0.25">
      <c r="L262" s="4"/>
      <c r="M262" s="4"/>
      <c r="N262" s="4"/>
      <c r="O262" s="5"/>
      <c r="P262" s="4"/>
      <c r="Q262" s="4"/>
      <c r="R262" s="4"/>
      <c r="S262" s="4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</row>
    <row r="263" spans="12:160" x14ac:dyDescent="0.25">
      <c r="L263" s="4"/>
      <c r="M263" s="4"/>
      <c r="N263" s="4"/>
      <c r="O263" s="5"/>
      <c r="P263" s="4"/>
      <c r="Q263" s="4"/>
      <c r="R263" s="4"/>
      <c r="S263" s="4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</row>
    <row r="264" spans="12:160" x14ac:dyDescent="0.25">
      <c r="L264" s="4"/>
      <c r="M264" s="4"/>
      <c r="N264" s="4"/>
      <c r="O264" s="5"/>
      <c r="P264" s="4"/>
      <c r="Q264" s="4"/>
      <c r="R264" s="4"/>
      <c r="S264" s="4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</row>
    <row r="265" spans="12:160" x14ac:dyDescent="0.25">
      <c r="L265" s="4"/>
      <c r="M265" s="4"/>
      <c r="N265" s="4"/>
      <c r="O265" s="5"/>
      <c r="P265" s="4"/>
      <c r="Q265" s="4"/>
      <c r="R265" s="4"/>
      <c r="S265" s="4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</row>
    <row r="266" spans="12:160" x14ac:dyDescent="0.25">
      <c r="L266" s="4"/>
      <c r="M266" s="4"/>
      <c r="N266" s="4"/>
      <c r="O266" s="5"/>
      <c r="P266" s="4"/>
      <c r="Q266" s="4"/>
      <c r="R266" s="4"/>
      <c r="S266" s="4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</row>
    <row r="267" spans="12:160" x14ac:dyDescent="0.25">
      <c r="L267" s="4"/>
      <c r="M267" s="4"/>
      <c r="N267" s="4"/>
      <c r="O267" s="5"/>
      <c r="P267" s="4"/>
      <c r="Q267" s="4"/>
      <c r="R267" s="4"/>
      <c r="S267" s="4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</row>
    <row r="268" spans="12:160" x14ac:dyDescent="0.25">
      <c r="L268" s="4"/>
      <c r="M268" s="4"/>
      <c r="N268" s="4"/>
      <c r="O268" s="5"/>
      <c r="P268" s="4"/>
      <c r="Q268" s="4"/>
      <c r="R268" s="4"/>
      <c r="S268" s="4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</row>
    <row r="269" spans="12:160" x14ac:dyDescent="0.25">
      <c r="L269" s="4"/>
      <c r="M269" s="4"/>
      <c r="N269" s="4"/>
      <c r="O269" s="5"/>
      <c r="P269" s="4"/>
      <c r="Q269" s="4"/>
      <c r="R269" s="4"/>
      <c r="S269" s="4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</row>
    <row r="270" spans="12:160" x14ac:dyDescent="0.25">
      <c r="L270" s="4"/>
      <c r="M270" s="4"/>
      <c r="N270" s="4"/>
      <c r="O270" s="5"/>
      <c r="P270" s="4"/>
      <c r="Q270" s="4"/>
      <c r="R270" s="4"/>
      <c r="S270" s="4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</row>
    <row r="271" spans="12:160" x14ac:dyDescent="0.25">
      <c r="L271" s="4"/>
      <c r="M271" s="4"/>
      <c r="N271" s="4"/>
      <c r="O271" s="5"/>
      <c r="P271" s="4"/>
      <c r="Q271" s="4"/>
      <c r="R271" s="4"/>
      <c r="S271" s="4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</row>
    <row r="272" spans="12:160" x14ac:dyDescent="0.25">
      <c r="L272" s="4"/>
      <c r="M272" s="4"/>
      <c r="N272" s="4"/>
      <c r="O272" s="5"/>
      <c r="P272" s="4"/>
      <c r="Q272" s="4"/>
      <c r="R272" s="4"/>
      <c r="S272" s="4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</row>
    <row r="273" spans="12:160" x14ac:dyDescent="0.25">
      <c r="L273" s="4"/>
      <c r="M273" s="4"/>
      <c r="N273" s="4"/>
      <c r="O273" s="5"/>
      <c r="P273" s="4"/>
      <c r="Q273" s="4"/>
      <c r="R273" s="4"/>
      <c r="S273" s="4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</row>
    <row r="274" spans="12:160" x14ac:dyDescent="0.25">
      <c r="L274" s="4"/>
      <c r="M274" s="4"/>
      <c r="N274" s="4"/>
      <c r="O274" s="5"/>
      <c r="P274" s="4"/>
      <c r="Q274" s="4"/>
      <c r="R274" s="4"/>
      <c r="S274" s="4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</row>
    <row r="275" spans="12:160" x14ac:dyDescent="0.25">
      <c r="L275" s="4"/>
      <c r="M275" s="4"/>
      <c r="N275" s="4"/>
      <c r="O275" s="5"/>
      <c r="P275" s="4"/>
      <c r="Q275" s="4"/>
      <c r="R275" s="4"/>
      <c r="S275" s="4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</row>
    <row r="276" spans="12:160" x14ac:dyDescent="0.25">
      <c r="L276" s="4"/>
      <c r="M276" s="4"/>
      <c r="N276" s="4"/>
      <c r="O276" s="5"/>
      <c r="P276" s="4"/>
      <c r="Q276" s="4"/>
      <c r="R276" s="4"/>
      <c r="S276" s="4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</row>
    <row r="277" spans="12:160" x14ac:dyDescent="0.25">
      <c r="L277" s="4"/>
      <c r="M277" s="4"/>
      <c r="N277" s="4"/>
      <c r="O277" s="5"/>
      <c r="P277" s="4"/>
      <c r="Q277" s="4"/>
      <c r="R277" s="4"/>
      <c r="S277" s="4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</row>
    <row r="278" spans="12:160" x14ac:dyDescent="0.25">
      <c r="L278" s="4"/>
      <c r="M278" s="4"/>
      <c r="N278" s="4"/>
      <c r="O278" s="5"/>
      <c r="P278" s="4"/>
      <c r="Q278" s="4"/>
      <c r="R278" s="4"/>
      <c r="S278" s="4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</row>
    <row r="279" spans="12:160" x14ac:dyDescent="0.25">
      <c r="L279" s="4"/>
      <c r="M279" s="4"/>
      <c r="N279" s="4"/>
      <c r="O279" s="5"/>
      <c r="P279" s="4"/>
      <c r="Q279" s="4"/>
      <c r="R279" s="4"/>
      <c r="S279" s="4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</row>
    <row r="280" spans="12:160" x14ac:dyDescent="0.25">
      <c r="L280" s="4"/>
      <c r="M280" s="4"/>
      <c r="N280" s="4"/>
      <c r="O280" s="5"/>
      <c r="P280" s="4"/>
      <c r="Q280" s="4"/>
      <c r="R280" s="4"/>
      <c r="S280" s="4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</row>
    <row r="281" spans="12:160" x14ac:dyDescent="0.25">
      <c r="L281" s="4"/>
      <c r="M281" s="4"/>
      <c r="N281" s="4"/>
      <c r="O281" s="5"/>
      <c r="P281" s="4"/>
      <c r="Q281" s="4"/>
      <c r="R281" s="4"/>
      <c r="S281" s="4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</row>
    <row r="282" spans="12:160" x14ac:dyDescent="0.25">
      <c r="L282" s="4"/>
      <c r="M282" s="4"/>
      <c r="N282" s="4"/>
      <c r="O282" s="5"/>
      <c r="P282" s="4"/>
      <c r="Q282" s="4"/>
      <c r="R282" s="4"/>
      <c r="S282" s="4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</row>
    <row r="283" spans="12:160" x14ac:dyDescent="0.25">
      <c r="L283" s="4"/>
      <c r="M283" s="4"/>
      <c r="N283" s="4"/>
      <c r="O283" s="5"/>
      <c r="P283" s="4"/>
      <c r="Q283" s="4"/>
      <c r="R283" s="4"/>
      <c r="S283" s="4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</row>
    <row r="284" spans="12:160" x14ac:dyDescent="0.25">
      <c r="L284" s="4"/>
      <c r="M284" s="4"/>
      <c r="N284" s="4"/>
      <c r="O284" s="5"/>
      <c r="P284" s="4"/>
      <c r="Q284" s="4"/>
      <c r="R284" s="4"/>
      <c r="S284" s="4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</row>
    <row r="285" spans="12:160" x14ac:dyDescent="0.25">
      <c r="L285" s="4"/>
      <c r="M285" s="4"/>
      <c r="N285" s="4"/>
      <c r="O285" s="5"/>
      <c r="P285" s="4"/>
      <c r="Q285" s="4"/>
      <c r="R285" s="4"/>
      <c r="S285" s="4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</row>
    <row r="286" spans="12:160" x14ac:dyDescent="0.25">
      <c r="L286" s="4"/>
      <c r="M286" s="4"/>
      <c r="N286" s="4"/>
      <c r="O286" s="5"/>
      <c r="P286" s="4"/>
      <c r="Q286" s="4"/>
      <c r="R286" s="4"/>
      <c r="S286" s="4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</row>
    <row r="287" spans="12:160" x14ac:dyDescent="0.25">
      <c r="L287" s="4"/>
      <c r="M287" s="4"/>
      <c r="N287" s="4"/>
      <c r="O287" s="5"/>
      <c r="P287" s="4"/>
      <c r="Q287" s="4"/>
      <c r="R287" s="4"/>
      <c r="S287" s="4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</row>
    <row r="288" spans="12:160" x14ac:dyDescent="0.25">
      <c r="L288" s="4"/>
      <c r="M288" s="4"/>
      <c r="N288" s="4"/>
      <c r="O288" s="5"/>
      <c r="P288" s="4"/>
      <c r="Q288" s="4"/>
      <c r="R288" s="4"/>
      <c r="S288" s="4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</row>
    <row r="289" spans="12:160" x14ac:dyDescent="0.25">
      <c r="L289" s="4"/>
      <c r="M289" s="4"/>
      <c r="N289" s="4"/>
      <c r="O289" s="5"/>
      <c r="P289" s="4"/>
      <c r="Q289" s="4"/>
      <c r="R289" s="4"/>
      <c r="S289" s="4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</row>
    <row r="290" spans="12:160" x14ac:dyDescent="0.25">
      <c r="L290" s="4"/>
      <c r="M290" s="4"/>
      <c r="N290" s="4"/>
      <c r="O290" s="5"/>
      <c r="P290" s="4"/>
      <c r="Q290" s="4"/>
      <c r="R290" s="4"/>
      <c r="S290" s="4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</row>
    <row r="291" spans="12:160" x14ac:dyDescent="0.25">
      <c r="L291" s="4"/>
      <c r="M291" s="4"/>
      <c r="N291" s="4"/>
      <c r="O291" s="5"/>
      <c r="P291" s="4"/>
      <c r="Q291" s="4"/>
      <c r="R291" s="4"/>
      <c r="S291" s="4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</row>
    <row r="292" spans="12:160" x14ac:dyDescent="0.25">
      <c r="L292" s="4"/>
      <c r="M292" s="4"/>
      <c r="N292" s="4"/>
      <c r="O292" s="5"/>
      <c r="P292" s="4"/>
      <c r="Q292" s="4"/>
      <c r="R292" s="4"/>
      <c r="S292" s="4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</row>
    <row r="293" spans="12:160" x14ac:dyDescent="0.25">
      <c r="L293" s="4"/>
      <c r="M293" s="4"/>
      <c r="N293" s="4"/>
      <c r="O293" s="5"/>
      <c r="P293" s="4"/>
      <c r="Q293" s="4"/>
      <c r="R293" s="4"/>
      <c r="S293" s="4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</row>
    <row r="294" spans="12:160" x14ac:dyDescent="0.25">
      <c r="L294" s="4"/>
      <c r="M294" s="4"/>
      <c r="N294" s="4"/>
      <c r="O294" s="5"/>
      <c r="P294" s="4"/>
      <c r="Q294" s="4"/>
      <c r="R294" s="4"/>
      <c r="S294" s="4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</row>
    <row r="295" spans="12:160" x14ac:dyDescent="0.25">
      <c r="L295" s="4"/>
      <c r="M295" s="4"/>
      <c r="N295" s="4"/>
      <c r="O295" s="5"/>
      <c r="P295" s="4"/>
      <c r="Q295" s="4"/>
      <c r="R295" s="4"/>
      <c r="S295" s="4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</row>
    <row r="296" spans="12:160" x14ac:dyDescent="0.25">
      <c r="L296" s="4"/>
      <c r="M296" s="4"/>
      <c r="N296" s="4"/>
      <c r="O296" s="5"/>
      <c r="P296" s="4"/>
      <c r="Q296" s="4"/>
      <c r="R296" s="4"/>
      <c r="S296" s="4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</row>
    <row r="297" spans="12:160" x14ac:dyDescent="0.25">
      <c r="L297" s="4"/>
      <c r="M297" s="4"/>
      <c r="N297" s="4"/>
      <c r="O297" s="5"/>
      <c r="P297" s="4"/>
      <c r="Q297" s="4"/>
      <c r="R297" s="4"/>
      <c r="S297" s="4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</row>
    <row r="298" spans="12:160" x14ac:dyDescent="0.25">
      <c r="L298" s="4"/>
      <c r="M298" s="4"/>
      <c r="N298" s="4"/>
      <c r="O298" s="5"/>
      <c r="P298" s="4"/>
      <c r="Q298" s="4"/>
      <c r="R298" s="4"/>
      <c r="S298" s="4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</row>
    <row r="299" spans="12:160" x14ac:dyDescent="0.25">
      <c r="L299" s="4"/>
      <c r="M299" s="4"/>
      <c r="N299" s="4"/>
      <c r="O299" s="5"/>
      <c r="P299" s="4"/>
      <c r="Q299" s="4"/>
      <c r="R299" s="4"/>
      <c r="S299" s="4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</row>
    <row r="300" spans="12:160" x14ac:dyDescent="0.25">
      <c r="L300" s="4"/>
      <c r="M300" s="4"/>
      <c r="N300" s="4"/>
      <c r="O300" s="5"/>
      <c r="P300" s="4"/>
      <c r="Q300" s="4"/>
      <c r="R300" s="4"/>
      <c r="S300" s="4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</row>
    <row r="301" spans="12:160" x14ac:dyDescent="0.25">
      <c r="L301" s="4"/>
      <c r="M301" s="4"/>
      <c r="N301" s="4"/>
      <c r="O301" s="5"/>
      <c r="P301" s="4"/>
      <c r="Q301" s="4"/>
      <c r="R301" s="4"/>
      <c r="S301" s="4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</row>
    <row r="302" spans="12:160" x14ac:dyDescent="0.25">
      <c r="L302" s="4"/>
      <c r="M302" s="4"/>
      <c r="N302" s="4"/>
      <c r="O302" s="5"/>
      <c r="P302" s="4"/>
      <c r="Q302" s="4"/>
      <c r="R302" s="4"/>
      <c r="S302" s="4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</row>
    <row r="303" spans="12:160" x14ac:dyDescent="0.25">
      <c r="L303" s="4"/>
      <c r="M303" s="4"/>
      <c r="N303" s="4"/>
      <c r="O303" s="5"/>
      <c r="P303" s="4"/>
      <c r="Q303" s="4"/>
      <c r="R303" s="4"/>
      <c r="S303" s="4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</row>
    <row r="304" spans="12:160" x14ac:dyDescent="0.25">
      <c r="L304" s="4"/>
      <c r="M304" s="4"/>
      <c r="N304" s="4"/>
      <c r="O304" s="5"/>
      <c r="P304" s="4"/>
      <c r="Q304" s="4"/>
      <c r="R304" s="4"/>
      <c r="S304" s="4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</row>
  </sheetData>
  <phoneticPr fontId="24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01E0E3454BCA478DC6721D95563A22" ma:contentTypeVersion="3" ma:contentTypeDescription="Create a new document." ma:contentTypeScope="" ma:versionID="2554399ead9c16e44fc8a433f2699f37">
  <xsd:schema xmlns:xsd="http://www.w3.org/2001/XMLSchema" xmlns:xs="http://www.w3.org/2001/XMLSchema" xmlns:p="http://schemas.microsoft.com/office/2006/metadata/properties" xmlns:ns2="3fcf6ac9-b491-42e3-9f5f-0d9227adeefe" targetNamespace="http://schemas.microsoft.com/office/2006/metadata/properties" ma:root="true" ma:fieldsID="a4fd3c6ca6cb160bbf032c58318e225e" ns2:_="">
    <xsd:import namespace="3fcf6ac9-b491-42e3-9f5f-0d9227adee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f6ac9-b491-42e3-9f5f-0d9227adee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BC666B-9AB9-46A4-BB20-99E34631F97F}"/>
</file>

<file path=customXml/itemProps2.xml><?xml version="1.0" encoding="utf-8"?>
<ds:datastoreItem xmlns:ds="http://schemas.openxmlformats.org/officeDocument/2006/customXml" ds:itemID="{AC459D34-880E-4D7A-B439-0654404D1939}"/>
</file>

<file path=customXml/itemProps3.xml><?xml version="1.0" encoding="utf-8"?>
<ds:datastoreItem xmlns:ds="http://schemas.openxmlformats.org/officeDocument/2006/customXml" ds:itemID="{9F60D666-D139-45DE-9EC0-D8E276F9756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System</vt:lpstr>
      <vt:lpstr>PV modules</vt:lpstr>
      <vt:lpstr>Inverter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Hansen</dc:creator>
  <cp:lastModifiedBy>Geib, Robin - VisionUPS</cp:lastModifiedBy>
  <cp:lastPrinted>2026-08-10T09:23:25Z</cp:lastPrinted>
  <dcterms:created xsi:type="dcterms:W3CDTF">2018-04-11T07:57:08Z</dcterms:created>
  <dcterms:modified xsi:type="dcterms:W3CDTF">2026-08-18T09:13:33Z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0x0101008601E0E3454BCA478DC6721D95563A22</vt:lpwstr>
  </property>
</Properties>
</file>